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<sst xmlns="http://schemas.openxmlformats.org/spreadsheetml/2006/main" count="3121" uniqueCount="2077">
  <si>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</si>
  <si>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</si>
  <si>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</si>
  <si>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</si>
  <si>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</si>
  <si>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</si>
  <si>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</si>
  <si>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</si>
  <si>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</si>
  <si>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</si>
  <si>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</si>
  <si>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</si>
  <si>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</si>
  <si>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</si>
  <si>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</si>
  <si>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</si>
  <si>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</si>
  <si>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</si>
  <si>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</si>
  <si>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</si>
  <si>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</si>
  <si>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</si>
  <si>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</si>
  <si>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</si>
  <si>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</si>
  <si>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</si>
  <si>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</si>
  <si>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</si>
  <si>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</si>
  <si>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</si>
  <si>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</si>
  <si>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</si>
  <si>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</si>
  <si>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</si>
  <si>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</si>
  <si>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</si>
  <si>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</si>
  <si>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</si>
  <si>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</si>
  <si>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</si>
  <si>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</si>
  <si>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</si>
  <si>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</si>
  <si>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</si>
  <si>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</si>
  <si>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</si>
  <si>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</si>
  <si>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</si>
  <si>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</si>
  <si>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</si>
  <si>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</si>
  <si>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</si>
  <si>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</si>
  <si>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</si>
  <si>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</si>
  <si>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</si>
  <si>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</si>
  <si>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</si>
  <si>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</si>
  <si>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</si>
  <si>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</si>
  <si>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</si>
  <si>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</si>
  <si>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</si>
  <si>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</si>
  <si>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</si>
  <si>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</si>
  <si>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</si>
  <si>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</si>
  <si>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</si>
  <si>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</si>
  <si>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</si>
  <si>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</si>
  <si>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</si>
  <si>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</si>
  <si>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</si>
  <si>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</si>
  <si>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</si>
  <si>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</si>
  <si>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</si>
  <si>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</si>
  <si>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</si>
  <si>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</si>
  <si>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</si>
  <si>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</si>
  <si>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</si>
  <si>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</si>
  <si>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</si>
  <si>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</si>
  <si>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</si>
  <si>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</si>
  <si>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</si>
  <si>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</si>
  <si>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</si>
  <si>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</si>
  <si>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</si>
  <si>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</si>
  <si>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</si>
  <si>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</si>
  <si>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</si>
  <si>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</si>
  <si>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</si>
  <si>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</si>
  <si>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</si>
  <si>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</si>
  <si>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</si>
  <si>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</si>
  <si>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</si>
  <si>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</si>
  <si>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</si>
  <si>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</si>
  <si>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</si>
  <si>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</si>
  <si>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</si>
  <si>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</si>
  <si>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</si>
  <si>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</si>
  <si>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</si>
  <si>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</si>
  <si>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</si>
  <si>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</si>
  <si>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</si>
  <si>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</si>
  <si>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</si>
  <si>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</si>
  <si>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</si>
  <si>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</si>
  <si>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</si>
  <si>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</si>
  <si>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</si>
  <si>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</si>
  <si>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</si>
  <si>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</si>
  <si>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</si>
  <si>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</si>
  <si>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</si>
  <si>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</si>
  <si>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</si>
  <si>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</si>
  <si>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</si>
  <si>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</si>
  <si>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</si>
  <si>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</si>
  <si>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</si>
  <si>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</si>
  <si>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</si>
  <si>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</si>
  <si>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</si>
  <si>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</si>
  <si>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</si>
  <si>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</si>
  <si>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</si>
  <si>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</si>
  <si>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</si>
  <si>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</si>
  <si>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</si>
  <si>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</si>
  <si>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</si>
  <si>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</si>
  <si>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</si>
  <si>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</si>
  <si>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</si>
  <si>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</si>
  <si>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</si>
  <si>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</si>
  <si>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</si>
  <si>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</si>
  <si>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</si>
  <si>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</si>
  <si>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</si>
  <si>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</si>
  <si>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</si>
  <si>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</si>
  <si>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</si>
  <si>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</si>
  <si>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</si>
  <si>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</si>
  <si>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</si>
  <si>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</si>
  <si>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</si>
  <si>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</si>
  <si>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</si>
  <si>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</si>
  <si>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</si>
  <si>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</si>
  <si>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</si>
  <si>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</si>
  <si>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</si>
  <si>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</si>
  <si>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</si>
  <si>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</si>
  <si>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</si>
  <si>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</si>
  <si>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</si>
  <si>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</si>
  <si>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</si>
  <si>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</si>
  <si>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</si>
  <si>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</si>
  <si>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</si>
  <si>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</si>
  <si>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</si>
  <si>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</si>
  <si>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</si>
  <si>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</si>
  <si>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</si>
  <si>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</si>
  <si>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</si>
  <si>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</si>
  <si>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</si>
  <si>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</si>
  <si>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</si>
  <si>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</si>
  <si>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</si>
  <si>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</si>
  <si>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</si>
  <si>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</si>
  <si>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</si>
  <si>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</si>
  <si>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</si>
  <si>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</si>
  <si>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</si>
  <si>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</si>
  <si>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</si>
  <si>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</si>
  <si>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</si>
  <si>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</si>
  <si>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</si>
  <si>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</si>
  <si>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</si>
  <si>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</si>
  <si>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</si>
  <si>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</si>
  <si>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</si>
  <si>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</si>
  <si>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</si>
  <si>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</si>
  <si>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</si>
  <si>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</si>
  <si>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</si>
  <si>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</si>
  <si>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</si>
  <si>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</si>
  <si>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</si>
  <si>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</si>
  <si>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</si>
  <si>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</si>
  <si>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</si>
  <si>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</si>
  <si>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</si>
  <si>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</si>
  <si>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</si>
  <si>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</si>
  <si>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</si>
  <si>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</si>
  <si>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</si>
  <si>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</si>
  <si>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</si>
  <si>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</si>
  <si>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</si>
  <si>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</si>
  <si>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</si>
  <si>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</si>
  <si>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</si>
  <si>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</si>
  <si>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</si>
  <si>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</si>
  <si>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</si>
  <si>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</si>
  <si>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</si>
  <si>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</si>
  <si>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</si>
  <si>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</si>
  <si>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</si>
  <si>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</si>
  <si>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</si>
  <si>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</si>
  <si>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</si>
  <si>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</si>
  <si>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</si>
  <si>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</si>
  <si>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</si>
  <si>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</si>
  <si>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</si>
  <si>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</si>
  <si>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</si>
  <si>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</si>
  <si>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</si>
  <si>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</si>
  <si>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</si>
  <si>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</si>
  <si>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</si>
  <si>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</si>
  <si>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</si>
  <si>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</si>
  <si>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</si>
  <si>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</si>
  <si>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</si>
  <si>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</si>
  <si>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</si>
  <si>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</si>
  <si>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</si>
  <si>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</si>
  <si>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</si>
  <si>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</si>
  <si>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</si>
  <si>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</si>
  <si>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</si>
  <si>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</si>
  <si>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</si>
  <si>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</si>
  <si>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</si>
  <si>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</si>
  <si>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</si>
  <si>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</si>
  <si>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</si>
  <si>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</si>
  <si>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</si>
  <si>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</si>
  <si>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</si>
  <si>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</si>
  <si>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</si>
  <si>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</si>
  <si>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</si>
  <si>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</si>
  <si>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</si>
  <si>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</si>
  <si>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</si>
  <si>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</si>
  <si>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</si>
  <si>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</si>
  <si>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</si>
  <si>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</si>
  <si>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</si>
  <si>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</si>
  <si>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</si>
  <si>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</si>
  <si>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</si>
  <si>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</si>
  <si>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</si>
  <si>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</si>
  <si>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</si>
  <si>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</si>
  <si>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</si>
  <si>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</si>
  <si>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</si>
  <si>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</si>
  <si>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</si>
  <si>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</si>
  <si>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</si>
  <si>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</si>
  <si>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</si>
  <si>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</si>
  <si>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</si>
  <si>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</si>
  <si>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</si>
  <si>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</si>
  <si>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</si>
  <si>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</si>
  <si>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</si>
  <si>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</si>
  <si>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</si>
  <si>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</si>
  <si>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</si>
  <si>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</si>
  <si>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</si>
  <si>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</si>
  <si>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</si>
  <si>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</si>
  <si>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</si>
  <si>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</si>
  <si>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</si>
  <si>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</si>
  <si>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</si>
  <si>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</si>
  <si>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</si>
  <si>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</si>
  <si>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</si>
  <si>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</si>
  <si>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</si>
  <si>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</si>
  <si>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</si>
  <si>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</si>
  <si>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</si>
  <si>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</si>
  <si>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</si>
  <si>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</si>
  <si>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</si>
  <si>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</si>
  <si>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</si>
  <si>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</si>
  <si>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</si>
  <si>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</si>
  <si>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</si>
  <si>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</si>
  <si>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</si>
  <si>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</si>
  <si>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</si>
  <si>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</si>
  <si>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</si>
  <si>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</si>
  <si>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</si>
  <si>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</si>
  <si>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</si>
  <si>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</si>
  <si>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</si>
  <si>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</si>
  <si>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</si>
  <si>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</si>
  <si>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</si>
  <si>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</si>
  <si>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</si>
  <si>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</si>
  <si>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</si>
  <si>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</si>
  <si>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</si>
  <si>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</si>
  <si>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</si>
  <si>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</si>
  <si>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</si>
  <si>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</si>
  <si>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</si>
  <si>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</si>
  <si>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</si>
  <si>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</si>
  <si>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</si>
  <si>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</si>
  <si>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</si>
  <si>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</si>
  <si>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</si>
  <si>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</si>
  <si>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</si>
  <si>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</si>
  <si>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</si>
  <si>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</si>
  <si>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</si>
  <si>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</si>
  <si>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</si>
  <si>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</si>
  <si>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</si>
  <si>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</si>
  <si>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</si>
  <si>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</si>
  <si>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</si>
  <si>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</si>
  <si>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</si>
  <si>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</si>
  <si>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</si>
  <si>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</si>
  <si>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</si>
  <si>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</si>
  <si>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</si>
  <si>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</si>
  <si>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</si>
  <si>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</si>
  <si>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</si>
  <si>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</si>
  <si>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</si>
  <si>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</si>
  <si>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</si>
  <si>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</si>
  <si>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</si>
  <si>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</si>
  <si>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</si>
  <si>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</si>
  <si>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</si>
  <si>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</si>
  <si>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</si>
  <si>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</si>
  <si>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</si>
  <si>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</si>
  <si>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</si>
  <si>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</si>
  <si>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</si>
  <si>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</si>
  <si>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</si>
  <si>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</si>
  <si>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</si>
  <si>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</si>
  <si>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</si>
  <si>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</si>
  <si>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</si>
  <si>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</si>
  <si>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</si>
  <si>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</si>
  <si>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</si>
  <si>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</si>
  <si>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</si>
  <si>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</si>
  <si>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</si>
  <si>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</si>
  <si>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</si>
  <si>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</si>
  <si>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</si>
  <si>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</si>
  <si>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</si>
  <si>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</si>
  <si>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</si>
  <si>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</si>
  <si>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</si>
  <si>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</si>
  <si>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</si>
  <si>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</si>
  <si>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</si>
  <si>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</si>
  <si>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</si>
  <si>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</si>
  <si>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</si>
  <si>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</si>
  <si>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</si>
  <si>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</si>
  <si>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</si>
  <si>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</si>
  <si>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</si>
  <si>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</si>
  <si>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</si>
  <si>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</si>
  <si>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</si>
  <si>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</si>
  <si>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</si>
  <si>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</si>
  <si>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</si>
  <si>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</si>
  <si>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</si>
  <si>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</si>
  <si>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</si>
  <si>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</si>
  <si>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</si>
  <si>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</si>
  <si>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</si>
  <si>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</si>
  <si>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</si>
  <si>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</si>
  <si>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</si>
  <si>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</si>
  <si>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</si>
  <si>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</si>
  <si>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</si>
  <si>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</si>
  <si>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</si>
  <si>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</si>
  <si>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</si>
  <si>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</si>
  <si>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</si>
  <si>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</si>
  <si>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</si>
  <si>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</si>
  <si>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</si>
  <si>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</si>
  <si>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</si>
  <si>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</si>
  <si>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</si>
  <si>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</si>
  <si>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</si>
  <si>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</si>
  <si>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</si>
  <si>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</si>
  <si>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</si>
  <si>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</si>
  <si>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</si>
  <si>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</si>
  <si>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</si>
  <si>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</si>
  <si>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</si>
  <si>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</si>
  <si>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</si>
  <si>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</si>
  <si>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</si>
  <si>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</si>
  <si>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</si>
  <si>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</si>
  <si>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</si>
  <si>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</si>
  <si>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</si>
  <si>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</si>
  <si>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</si>
  <si>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</si>
  <si>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</si>
  <si>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</si>
  <si>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</si>
  <si>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</si>
  <si>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</si>
  <si>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</si>
  <si>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</si>
  <si>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</si>
  <si>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</si>
  <si>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</si>
  <si>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</si>
  <si>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</si>
  <si>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</si>
  <si>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</si>
  <si>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</si>
  <si>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</si>
  <si>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</si>
  <si>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</si>
  <si>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</si>
  <si>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</si>
  <si>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</si>
  <si>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</si>
  <si>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</si>
  <si>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</si>
  <si>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</si>
  <si>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</si>
  <si>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</si>
  <si>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</si>
  <si>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</si>
  <si>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</si>
  <si>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</si>
  <si>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</si>
  <si>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</si>
  <si>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</si>
  <si>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</si>
  <si>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</si>
  <si>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</si>
  <si>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</si>
  <si>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</si>
  <si>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</si>
  <si>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</si>
  <si>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</si>
  <si>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</si>
  <si>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</si>
  <si>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</si>
  <si>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</si>
  <si>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</si>
  <si>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</si>
  <si>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</si>
  <si>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</si>
  <si>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</si>
  <si>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</si>
  <si>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</si>
  <si>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</si>
  <si>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</si>
  <si>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</si>
  <si>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</si>
  <si>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</si>
  <si>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</si>
  <si>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</si>
  <si>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</si>
  <si>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</si>
  <si>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</si>
  <si>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</si>
  <si>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</si>
  <si>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</si>
  <si>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</si>
  <si>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</si>
  <si>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</si>
  <si>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</si>
  <si>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</si>
  <si>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</si>
  <si>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</si>
  <si>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</si>
  <si>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</si>
  <si>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</si>
  <si>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</si>
  <si>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</si>
  <si>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</si>
  <si>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</si>
  <si>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</si>
  <si>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</si>
  <si>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</si>
  <si>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</si>
  <si>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</si>
  <si>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</si>
  <si>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</si>
  <si>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</si>
  <si>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</si>
  <si>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</si>
  <si>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</si>
  <si>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</si>
  <si>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</si>
  <si>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</si>
  <si>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</si>
  <si>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</si>
  <si>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</si>
  <si>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</si>
  <si>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</si>
  <si>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</si>
  <si>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</si>
  <si>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</si>
  <si>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</si>
  <si>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</si>
  <si>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</si>
  <si>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</si>
  <si>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</si>
  <si>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</si>
  <si>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</si>
  <si>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</si>
  <si>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</si>
  <si>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</si>
  <si>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</si>
  <si>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</si>
  <si>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</si>
  <si>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</si>
  <si>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</si>
  <si>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</si>
  <si>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</si>
  <si>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</si>
  <si>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</si>
  <si>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</si>
  <si>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</si>
  <si>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</si>
  <si>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</si>
  <si>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</si>
  <si>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</si>
  <si>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</si>
  <si>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</si>
  <si>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</si>
  <si>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</si>
  <si>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</si>
  <si>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</si>
  <si>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</si>
  <si>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</si>
  <si>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</si>
  <si>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</si>
  <si>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</si>
  <si>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</si>
  <si>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</si>
  <si>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</si>
  <si>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</si>
  <si>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</si>
  <si>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</si>
  <si>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</si>
  <si>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</si>
  <si>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</si>
  <si>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</si>
  <si>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</si>
  <si>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</si>
  <si>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</si>
  <si>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</si>
  <si>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</si>
  <si>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</si>
  <si>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</si>
  <si>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</si>
  <si>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</si>
  <si>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</si>
  <si>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</si>
  <si>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</si>
  <si>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</si>
  <si>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</si>
  <si>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</si>
  <si>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</si>
  <si>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</si>
  <si>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</si>
  <si>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</si>
  <si>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</si>
  <si>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</si>
  <si>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</si>
  <si>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</si>
  <si>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</si>
  <si>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</si>
  <si>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</si>
  <si>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</si>
  <si>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</si>
  <si>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</si>
  <si>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</si>
  <si>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</si>
  <si>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</si>
  <si>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</si>
  <si>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</si>
  <si>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</si>
  <si>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</si>
  <si>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</si>
  <si>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</si>
  <si>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</si>
  <si>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</si>
  <si>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</si>
  <si>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</si>
  <si>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</si>
  <si>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</si>
  <si>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</si>
  <si>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</si>
  <si>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</si>
  <si>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</si>
  <si>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</si>
  <si>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</si>
  <si>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</si>
  <si>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</si>
  <si>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</si>
  <si>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</si>
  <si>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</si>
  <si>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</si>
  <si>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</si>
  <si>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</si>
  <si>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</si>
  <si>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</si>
  <si>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</si>
  <si>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</si>
  <si>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</si>
  <si>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</si>
  <si>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</si>
  <si>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</si>
  <si>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</si>
  <si>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</si>
  <si>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</si>
  <si>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</si>
  <si>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</si>
  <si>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</si>
  <si>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</si>
  <si>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</si>
  <si>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</si>
  <si>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</si>
  <si>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</si>
  <si>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</si>
  <si>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</si>
  <si>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</si>
  <si>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</si>
  <si>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</si>
  <si>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</si>
  <si>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</si>
  <si>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</si>
  <si>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</si>
  <si>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</si>
  <si>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</si>
  <si>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</si>
  <si>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</si>
  <si>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</si>
  <si>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</si>
  <si>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</si>
  <si>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</si>
  <si>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</si>
  <si>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</si>
  <si>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</si>
  <si>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</si>
  <si>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</si>
  <si>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</si>
  <si>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</si>
  <si>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</si>
  <si>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</si>
  <si>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</si>
  <si>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</si>
  <si>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</si>
  <si>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</si>
  <si>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</si>
  <si>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</si>
  <si>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</si>
  <si>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</si>
  <si>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</si>
  <si>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</si>
  <si>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</si>
  <si>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</si>
  <si>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</si>
  <si>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</si>
  <si>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</si>
  <si>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</si>
  <si>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</si>
  <si>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</si>
  <si>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</si>
  <si>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</si>
  <si>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</si>
  <si>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</si>
  <si>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</si>
  <si>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</si>
  <si>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</si>
  <si>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</si>
  <si>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</si>
  <si>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</si>
  <si>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</si>
  <si>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</si>
  <si>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</si>
  <si>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</si>
  <si>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</si>
  <si>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</si>
  <si>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</si>
  <si>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</si>
  <si>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</si>
  <si>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</si>
  <si>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</si>
  <si>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</si>
  <si>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</si>
  <si>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</si>
  <si>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</si>
  <si>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</si>
  <si>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</si>
  <si>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</si>
  <si>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</si>
  <si>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</si>
  <si>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</si>
  <si>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</si>
  <si>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</si>
  <si>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</si>
  <si>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</si>
  <si>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</si>
  <si>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</si>
  <si>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</si>
  <si>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</si>
  <si>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</si>
  <si>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</si>
  <si>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</si>
  <si>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</si>
  <si>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</si>
  <si>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</si>
  <si>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</si>
  <si>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</si>
  <si>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</si>
  <si>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</si>
  <si>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</si>
  <si>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</si>
  <si>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</si>
  <si>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</si>
  <si>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</si>
  <si>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</si>
  <si>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</si>
  <si>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</si>
  <si>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</si>
  <si>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</si>
  <si>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</si>
  <si>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</si>
  <si>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</si>
  <si>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</si>
  <si>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</si>
  <si>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</si>
  <si>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</si>
  <si>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</si>
  <si>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</si>
  <si>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</si>
  <si>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</si>
  <si>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</si>
  <si>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</si>
  <si>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</si>
  <si>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</si>
  <si>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</si>
  <si>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</si>
  <si>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</si>
  <si>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</si>
  <si>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</si>
  <si>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</si>
  <si>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</si>
  <si>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</si>
  <si>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</si>
  <si>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</si>
  <si>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</si>
  <si>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</si>
  <si>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</si>
  <si>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</si>
  <si>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</si>
  <si>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</si>
  <si>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</si>
  <si>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</si>
  <si>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</si>
  <si>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</si>
  <si>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</si>
  <si>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</si>
  <si>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</si>
  <si>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</si>
  <si>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</si>
  <si>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</si>
  <si>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</si>
  <si>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</si>
  <si>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</si>
  <si>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</si>
  <si>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</si>
  <si>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</si>
  <si>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</si>
  <si>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</si>
  <si>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</si>
  <si>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</si>
  <si>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</si>
  <si>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</si>
  <si>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</si>
  <si>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</si>
  <si>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</si>
  <si>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</si>
  <si>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</si>
  <si>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</si>
  <si>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</si>
  <si>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</si>
  <si>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</si>
  <si>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</si>
  <si>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</si>
  <si>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</si>
  <si>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</si>
  <si>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</si>
  <si>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</si>
  <si>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</si>
  <si>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</si>
  <si>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</si>
  <si>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</si>
  <si>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</si>
  <si>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</si>
  <si>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</si>
  <si>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</si>
  <si>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</si>
  <si>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</si>
  <si>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</si>
  <si>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</si>
  <si>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</si>
  <si>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</si>
  <si>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</si>
  <si>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</si>
  <si>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</si>
  <si>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</si>
  <si>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</si>
  <si>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</si>
  <si>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</si>
  <si>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</si>
  <si>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</si>
  <si>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</si>
  <si>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</si>
  <si>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</si>
  <si>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</si>
  <si>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</si>
  <si>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</si>
  <si>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</si>
  <si>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</si>
  <si>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</si>
  <si>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</si>
  <si>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</si>
  <si>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</si>
  <si>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</si>
  <si>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</si>
  <si>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</si>
  <si>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</si>
  <si>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</si>
  <si>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</si>
  <si>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</si>
  <si>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</si>
  <si>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</si>
  <si>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</si>
  <si>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</si>
  <si>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</si>
  <si>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</si>
  <si>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</si>
  <si>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</si>
  <si>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</si>
  <si>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</si>
  <si>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</si>
  <si>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</si>
  <si>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</si>
  <si>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</si>
  <si>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</si>
  <si>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</si>
  <si>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</si>
  <si>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</si>
  <si>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</si>
  <si>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</si>
  <si>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</si>
  <si>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</si>
  <si>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</si>
  <si>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</si>
  <si>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</si>
  <si>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</si>
  <si>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</si>
  <si>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</si>
  <si>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</si>
  <si>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</si>
  <si>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</si>
  <si>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</si>
  <si>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</si>
  <si>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</si>
  <si>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</si>
  <si>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</si>
  <si>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</si>
  <si>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</si>
  <si>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</si>
  <si>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</si>
  <si>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</si>
  <si>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</si>
  <si>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</si>
  <si>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</si>
  <si>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</si>
  <si>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</si>
  <si>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</si>
  <si>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</si>
  <si>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</si>
  <si>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</si>
  <si>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</si>
  <si>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</si>
  <si>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</si>
  <si>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</si>
  <si>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</si>
  <si>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</si>
  <si>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</si>
  <si>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</si>
  <si>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</si>
  <si>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</si>
  <si>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</si>
  <si>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</si>
  <si>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</si>
  <si>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</si>
  <si>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</si>
  <si>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</si>
  <si>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</si>
  <si>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</si>
  <si>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</si>
  <si>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</si>
  <si>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</si>
  <si>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</si>
  <si>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</si>
  <si>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</si>
  <si>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</si>
  <si>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</si>
  <si>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</si>
  <si>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</si>
  <si>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</si>
  <si>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</si>
  <si>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</si>
  <si>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</si>
  <si>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</si>
  <si>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</si>
  <si>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</si>
  <si>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</si>
  <si>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</si>
  <si>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</si>
  <si>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</si>
  <si>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</si>
  <si>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</si>
  <si>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</si>
  <si>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</si>
  <si>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</si>
  <si>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</si>
  <si>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</si>
  <si>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</si>
  <si>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</si>
  <si>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</si>
  <si>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</si>
  <si>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</si>
  <si>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</si>
  <si>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</si>
  <si>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</si>
  <si>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</si>
  <si>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</si>
  <si>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</si>
  <si>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</si>
  <si>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</si>
  <si>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</si>
  <si>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</si>
  <si>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</si>
  <si>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</si>
  <si>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</si>
  <si>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</si>
  <si>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</si>
  <si>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</si>
  <si>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</si>
  <si>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</si>
  <si>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</si>
  <si>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</si>
  <si>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</si>
  <si>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</si>
  <si>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</si>
  <si>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</si>
  <si>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</si>
  <si>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</si>
  <si>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</si>
  <si>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</si>
  <si>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</si>
  <si>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</si>
  <si>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</si>
  <si>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</si>
  <si>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</si>
  <si>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</si>
  <si>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</si>
  <si>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</si>
  <si>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</si>
  <si>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</si>
  <si>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</si>
  <si>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</si>
  <si>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</si>
  <si>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</si>
  <si>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</si>
  <si>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</si>
  <si>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</si>
  <si>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</si>
  <si>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</si>
  <si>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</si>
  <si>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</si>
  <si>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</si>
  <si>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</si>
  <si>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</si>
  <si>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</si>
  <si>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</si>
  <si>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</si>
  <si>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</si>
  <si>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</si>
  <si>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</si>
  <si>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</si>
  <si>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</si>
  <si>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</si>
  <si>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</si>
  <si>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</si>
  <si>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</si>
  <si>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</si>
  <si>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</si>
  <si>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</si>
  <si>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</si>
  <si>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</si>
  <si>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</si>
  <si>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</si>
  <si>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</si>
  <si>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</si>
  <si>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</si>
  <si>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</si>
  <si>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</si>
  <si>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</si>
  <si>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</si>
  <si>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</si>
  <si>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</si>
  <si>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</si>
  <si>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</si>
  <si>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</si>
  <si>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</si>
  <si>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</si>
  <si>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</si>
  <si>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</si>
  <si>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</si>
  <si>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</si>
  <si>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</si>
  <si>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</si>
  <si>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</si>
  <si>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</si>
  <si>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</si>
  <si>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</si>
  <si>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</si>
  <si>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</si>
  <si>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</si>
  <si>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</si>
  <si>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</si>
  <si>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</si>
  <si>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</si>
  <si>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</si>
  <si>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</si>
  <si>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</si>
  <si>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</si>
  <si>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</si>
  <si>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</si>
  <si>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</si>
  <si>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</si>
  <si>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</si>
  <si>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</si>
  <si>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</si>
  <si>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</si>
  <si>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</si>
  <si>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</si>
  <si>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</si>
  <si>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</si>
  <si>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</si>
  <si>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</si>
  <si>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</si>
  <si>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</si>
  <si>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</si>
  <si>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</si>
  <si>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</si>
  <si>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</si>
  <si>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</si>
  <si>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</si>
  <si>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</si>
  <si>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</si>
  <si>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</si>
  <si>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</si>
  <si>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</si>
  <si>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</si>
  <si>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</si>
  <si>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</si>
  <si>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</si>
  <si>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</si>
  <si>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</si>
  <si>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</si>
  <si>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</si>
  <si>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</si>
  <si>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</si>
  <si>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</si>
  <si>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</si>
  <si>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</si>
  <si>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</si>
  <si>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</si>
  <si>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</si>
  <si>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</si>
  <si>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</si>
  <si>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</si>
  <si>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</si>
  <si>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</si>
  <si>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</si>
  <si>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</si>
  <si>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</si>
  <si>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</si>
  <si>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</si>
  <si>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</si>
  <si>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</si>
  <si>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</si>
  <si>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</si>
  <si>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</si>
  <si>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</si>
  <si>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</si>
  <si>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</si>
  <si>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</si>
  <si>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</si>
  <si>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</si>
  <si>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</si>
  <si>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</si>
  <si>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</si>
  <si>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</si>
  <si>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</si>
  <si>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</si>
  <si>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</si>
  <si>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</si>
  <si>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</si>
  <si>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</si>
  <si>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</si>
  <si>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</si>
  <si>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</si>
  <si>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</si>
  <si>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</si>
  <si>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</si>
  <si>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</si>
  <si>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</si>
  <si>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</si>
  <si>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</si>
  <si>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</si>
  <si>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</si>
  <si>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</si>
  <si>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</si>
  <si>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</si>
  <si>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</si>
  <si>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</si>
  <si>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</si>
  <si>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</si>
  <si>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</si>
  <si>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</si>
  <si>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</si>
  <si>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</si>
  <si>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</si>
  <si>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</si>
  <si>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</si>
  <si>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</si>
  <si>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</si>
  <si>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</si>
  <si>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</si>
  <si>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</si>
  <si>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</si>
  <si>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</si>
  <si>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</si>
  <si>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</si>
  <si>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</si>
  <si>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</si>
  <si>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</si>
  <si>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</si>
  <si>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</si>
  <si>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</si>
  <si>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</si>
  <si>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</si>
  <si>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</si>
  <si>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</si>
  <si>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</si>
  <si>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</si>
  <si>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</si>
  <si>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</si>
  <si>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</si>
  <si>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</si>
  <si>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</si>
  <si>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</si>
  <si>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</si>
  <si>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</si>
  <si>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</si>
  <si>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</si>
  <si>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</si>
  <si>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</si>
  <si>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</si>
  <si>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</si>
  <si>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</si>
  <si>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</si>
  <si>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</si>
  <si>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</si>
  <si>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</si>
  <si>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</si>
  <si>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</si>
  <si>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</si>
  <si>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</si>
  <si>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</si>
  <si>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</si>
  <si>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</si>
  <si>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</si>
  <si>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</si>
  <si>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</si>
  <si>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</si>
  <si>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</si>
  <si>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</si>
  <si>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</si>
  <si>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</si>
  <si>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</si>
  <si>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</si>
  <si>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</si>
  <si>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</si>
  <si>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</si>
  <si>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</si>
  <si>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</si>
  <si>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</si>
  <si>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</si>
  <si>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</si>
  <si>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</si>
  <si>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</si>
  <si>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</si>
  <si>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</si>
  <si>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</si>
  <si>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</si>
  <si>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</si>
  <si>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</si>
  <si>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</si>
  <si>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</si>
  <si>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</si>
  <si>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</si>
  <si>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</si>
  <si>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</si>
  <si>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</si>
  <si>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</si>
  <si>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</si>
  <si>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</si>
  <si>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</si>
  <si>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</si>
  <si>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</si>
  <si>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</si>
  <si>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</si>
  <si>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</si>
  <si>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</si>
  <si>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</si>
  <si>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</si>
  <si>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</si>
  <si>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</si>
  <si>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</si>
  <si>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</si>
  <si>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</si>
  <si>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</si>
  <si>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</si>
  <si>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</si>
  <si>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</si>
  <si>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</si>
  <si>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</si>
  <si>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</si>
  <si>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</si>
  <si>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</si>
  <si>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</si>
  <si>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</si>
  <si>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</si>
  <si>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</si>
  <si>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</si>
  <si>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</si>
  <si>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</si>
  <si>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</si>
  <si>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</si>
  <si>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</si>
  <si>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</si>
  <si>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</si>
  <si>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</si>
  <si>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</si>
  <si>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</si>
  <si>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</si>
  <si>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</si>
  <si>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</si>
  <si>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</si>
  <si>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</si>
  <si>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</si>
  <si>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</si>
  <si>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</si>
  <si>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</si>
  <si>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</si>
  <si>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</si>
  <si>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</si>
  <si>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</si>
  <si>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</si>
  <si>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</si>
  <si>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</si>
  <si>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</si>
  <si>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</si>
  <si>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</si>
  <si>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</si>
  <si>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</si>
  <si>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</si>
  <si>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</si>
  <si>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</si>
  <si>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</si>
  <si>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</si>
  <si>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</si>
  <si>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</si>
  <si>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</si>
  <si>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</si>
  <si>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</si>
  <si>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</si>
  <si>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</si>
  <si>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</si>
  <si>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</si>
  <si>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</si>
  <si>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</si>
  <si>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</si>
  <si>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</si>
  <si>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</si>
  <si>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</si>
  <si>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</si>
  <si>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</si>
  <si>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</si>
  <si>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</si>
  <si>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</si>
  <si>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</si>
  <si>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</si>
  <si>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</si>
  <si>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</si>
  <si>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</si>
  <si>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</si>
  <si>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</si>
  <si>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</si>
  <si>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</si>
  <si>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</si>
  <si>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</si>
  <si>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</si>
  <si>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</si>
  <si>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</si>
  <si>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</si>
  <si>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</si>
  <si>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</si>
  <si>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</si>
  <si>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</si>
  <si>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</si>
  <si>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</si>
  <si>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</si>
  <si>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</si>
  <si>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</si>
  <si>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</si>
  <si>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</si>
  <si>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</si>
  <si>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</si>
  <si>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</si>
  <si>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</si>
  <si>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</si>
  <si>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</si>
  <si>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</si>
  <si>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</si>
  <si>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</si>
  <si>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</si>
  <si>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</si>
  <si>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</si>
  <si>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</si>
  <si>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</si>
  <si>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</si>
  <si>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</si>
  <si>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</si>
  <si>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</si>
  <si>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</si>
  <si>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</si>
  <si>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</si>
  <si>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</si>
  <si>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</si>
  <si>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</si>
  <si>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</si>
  <si>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</si>
  <si>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</si>
  <si>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</si>
  <si>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</si>
  <si>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</si>
  <si>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</si>
  <si>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</si>
  <si>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</si>
  <si>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</si>
  <si>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</si>
  <si>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</si>
  <si>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</si>
  <si>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</si>
  <si>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</si>
  <si>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</si>
  <si>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</si>
  <si>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</si>
  <si>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</si>
  <si>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</si>
  <si>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</si>
  <si>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</si>
  <si>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</si>
  <si>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</si>
  <si>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</si>
  <si>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</si>
  <si>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</si>
  <si>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</si>
  <si>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</si>
  <si>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</si>
  <si>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</si>
  <si>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</si>
  <si>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</si>
  <si>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</si>
  <si>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</si>
  <si>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</si>
  <si>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</si>
  <si>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</si>
  <si>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</si>
  <si>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</si>
  <si>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</si>
  <si>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</si>
  <si>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</si>
  <si>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</si>
  <si>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</si>
  <si>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</si>
  <si>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</si>
  <si>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</si>
  <si>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</si>
  <si>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</si>
  <si>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</si>
  <si>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</si>
  <si>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</si>
  <si>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</si>
  <si>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</si>
  <si>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</si>
  <si>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</si>
  <si>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</si>
  <si>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</si>
  <si>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</si>
  <si>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</si>
  <si>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</si>
  <si>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</si>
  <si>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</si>
  <si>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</si>
  <si>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</si>
  <si>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</si>
  <si>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</si>
  <si>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</si>
  <si>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</si>
  <si>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</si>
  <si>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</si>
  <si>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</si>
  <si>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</si>
  <si>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</si>
  <si>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</si>
  <si>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</si>
  <si>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</si>
  <si>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</si>
  <si>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</si>
  <si>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</si>
  <si>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</si>
  <si>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</si>
  <si>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</si>
  <si>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</si>
  <si>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</si>
  <si>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</si>
  <si>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</si>
  <si>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</si>
  <si>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</si>
  <si>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</si>
  <si>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</si>
  <si>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</si>
  <si>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</si>
  <si>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</si>
  <si>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</si>
  <si>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</si>
  <si>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</si>
  <si>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</si>
  <si>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</si>
  <si>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</si>
  <si>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</si>
  <si>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</si>
  <si>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</si>
  <si>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</si>
  <si>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</si>
  <si>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</si>
  <si>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</si>
  <si>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</si>
  <si>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</si>
  <si>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</si>
  <si>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</si>
  <si>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</si>
  <si>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</si>
  <si>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</si>
  <si>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</si>
  <si>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</si>
  <si>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</si>
  <si>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</si>
  <si>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</si>
  <si>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</si>
  <si>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</si>
  <si>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</si>
  <si>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</si>
  <si>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</si>
  <si>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</si>
  <si>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</si>
  <si>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</si>
  <si>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</si>
  <si>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</si>
  <si>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</si>
  <si>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</si>
  <si>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</si>
  <si>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</si>
  <si>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</si>
  <si>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</si>
  <si>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</si>
  <si>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</si>
  <si>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</si>
  <si>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</si>
  <si>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</si>
  <si>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</si>
  <si>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</si>
  <si>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</si>
  <si>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</si>
  <si>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</si>
  <si>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</si>
  <si>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</si>
  <si>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</si>
  <si>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</si>
  <si>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</si>
  <si>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</si>
  <si>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</si>
  <si>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</si>
  <si>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</si>
  <si>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</si>
  <si>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</si>
  <si>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</si>
  <si>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</si>
  <si>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</si>
  <si>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</si>
  <si>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</si>
  <si>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</si>
  <si>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</si>
  <si>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</si>
  <si>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</si>
  <si>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</si>
  <si>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</si>
  <si>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</si>
  <si>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</si>
  <si>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</si>
  <si>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</si>
  <si>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</si>
  <si>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</si>
  <si>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</si>
  <si>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</si>
  <si>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</si>
  <si>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</si>
  <si>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</si>
  <si>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</si>
  <si>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</si>
  <si>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</si>
  <si>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</si>
  <si>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</si>
  <si>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</si>
  <si>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</si>
  <si>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</si>
  <si>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</si>
  <si>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</si>
  <si>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</si>
  <si>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</si>
  <si>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</si>
  <si>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</si>
  <si>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</si>
  <si>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</si>
  <si>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</si>
  <si>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</si>
  <si>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</si>
  <si>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</si>
  <si>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</si>
  <si>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</si>
  <si>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</si>
  <si>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</si>
  <si>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</si>
  <si>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</si>
  <si>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</si>
  <si>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</si>
  <si>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</si>
  <si>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</si>
  <si>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</si>
  <si>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</si>
  <si>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</si>
  <si>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</si>
  <si>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</si>
  <si>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</si>
  <si>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</si>
  <si>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</si>
  <si>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</si>
  <si>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</si>
  <si>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</si>
  <si>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</si>
  <si>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</si>
  <si>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</si>
  <si>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</si>
  <si>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</si>
  <si>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</si>
  <si>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</si>
  <si>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</si>
  <si>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</si>
  <si>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</si>
  <si>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</si>
  <si>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</si>
  <si>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</si>
  <si>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</si>
  <si>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</si>
  <si>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</si>
  <si>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</si>
  <si>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</si>
  <si>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</si>
  <si>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</si>
  <si>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</si>
  <si>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</si>
  <si>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</si>
  <si>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</si>
  <si>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</si>
  <si>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</si>
  <si>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</si>
  <si>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</si>
  <si>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</si>
  <si>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</si>
  <si>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</si>
  <si>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</si>
  <si>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</si>
  <si>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</si>
  <si>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</si>
  <si>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</si>
  <si>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</si>
  <si>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</si>
  <si>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</si>
  <si>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</si>
  <si>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</si>
  <si>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</si>
  <si>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</si>
  <si>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</si>
  <si>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</si>
  <si>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</si>
  <si>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</si>
  <si>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</si>
  <si>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</si>
  <si>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</si>
  <si>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</si>
  <si>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</si>
  <si>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</si>
  <si>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</si>
  <si>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</si>
  <si>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</si>
  <si>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</si>
  <si>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</si>
  <si>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</si>
  <si>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</si>
  <si>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</si>
  <si>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</si>
  <si>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</si>
  <si>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</si>
  <si>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</si>
  <si>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</si>
  <si>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</si>
  <si>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</si>
  <si>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</si>
  <si>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</si>
  <si>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</si>
  <si>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</si>
  <si>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</si>
  <si>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</si>
  <si>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</si>
  <si>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</si>
  <si>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</si>
  <si>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</si>
  <si>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</si>
  <si>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</si>
  <si>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</si>
  <si>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</si>
  <si>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</si>
  <si>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</si>
  <si>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</si>
  <si>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</si>
  <si>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</si>
  <si>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</si>
  <si>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</si>
  <si>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</si>
  <si>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</si>
  <si>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</si>
  <si>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</si>
  <si>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</si>
  <si>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</si>
  <si>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</si>
  <si>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</si>
  <si>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</si>
  <si>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</si>
  <si>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</si>
  <si>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</si>
  <si>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</si>
  <si>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</si>
  <si>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</si>
  <si>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</si>
  <si>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</si>
  <si>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</si>
  <si>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</si>
  <si>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</si>
  <si>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</si>
  <si>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</si>
  <si>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</si>
  <si>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</si>
  <si>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</si>
  <si>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</si>
  <si>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</si>
  <si>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</si>
  <si>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</si>
  <si>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</si>
  <si>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</si>
  <si>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</si>
  <si>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</si>
  <si>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</si>
  <si>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</si>
  <si>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</si>
  <si>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</si>
  <si>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</si>
  <si>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</si>
  <si>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</si>
  <si>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</si>
  <si>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</si>
  <si>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</si>
  <si>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</si>
  <si>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</si>
  <si>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</si>
  <si>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</si>
  <si>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</si>
  <si>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</si>
  <si>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</si>
  <si>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</si>
  <si>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</si>
  <si>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</si>
  <si>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</si>
  <si>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</si>
  <si>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</si>
  <si>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</si>
  <si>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</si>
  <si>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</si>
  <si>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</si>
  <si>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</si>
  <si>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</si>
  <si>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</si>
  <si>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</si>
  <si>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</si>
  <si>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</si>
  <si>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</si>
  <si>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</si>
  <si>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</si>
  <si>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</si>
  <si>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</si>
  <si>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</si>
  <si>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</si>
  <si>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</si>
  <si>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</si>
  <si>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</si>
  <si>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</si>
  <si>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</si>
  <si>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</si>
  <si>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</si>
  <si>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</si>
  <si>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</si>
  <si>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</si>
  <si>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</si>
  <si>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</si>
  <si>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</si>
  <si>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</si>
  <si>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</si>
  <si>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</si>
  <si>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</si>
  <si>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</si>
  <si>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</si>
  <si>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</si>
  <si>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</si>
  <si>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</si>
  <si>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</si>
  <si>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</si>
  <si>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</si>
  <si>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</si>
  <si>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</si>
  <si>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</si>
  <si>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</si>
  <si>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</si>
  <si>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</si>
  <si>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</si>
  <si>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</si>
  <si>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</si>
  <si>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</si>
  <si>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</si>
  <si>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</si>
  <si>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</si>
  <si>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</si>
  <si>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</si>
  <si>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</si>
  <si>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</si>
  <si>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</si>
  <si>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</si>
  <si>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</si>
  <si>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</si>
  <si>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</si>
  <si>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</si>
  <si>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</si>
  <si>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</si>
  <si>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</si>
  <si>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</si>
  <si>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</si>
  <si>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</si>
  <si>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</si>
  <si>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</si>
  <si>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</si>
  <si>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</si>
  <si>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</si>
  <si>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</si>
  <si>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</si>
  <si>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</si>
  <si>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</si>
  <si>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</si>
  <si>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</si>
  <si>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</si>
  <si>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</si>
  <si>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</si>
  <si>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</si>
  <si>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</si>
  <si>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</si>
  <si>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</si>
  <si>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</si>
  <si>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</si>
  <si>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</si>
  <si>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</si>
  <si>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</si>
  <si>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</si>
  <si>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</si>
  <si>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</si>
  <si>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</si>
  <si>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</si>
  <si>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</si>
  <si>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</si>
  <si>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</si>
  <si>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</si>
  <si>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</si>
  <si>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</si>
  <si>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</si>
  <si>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</si>
  <si>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</si>
  <si>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</si>
  <si>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</si>
  <si>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</si>
  <si>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</si>
  <si>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</si>
  <si>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</si>
  <si>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</si>
  <si>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</si>
  <si>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</si>
  <si>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</si>
  <si>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</si>
  <si>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</si>
  <si>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</si>
  <si>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</si>
  <si>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</si>
  <si>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</si>
  <si>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</si>
  <si>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</si>
  <si>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</si>
  <si>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</si>
  <si>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</si>
  <si>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</si>
  <si>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</si>
  <si>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</si>
  <si>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</si>
  <si>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</si>
  <si>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</si>
  <si>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</si>
  <si>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</si>
  <si>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</si>
  <si>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</si>
  <si>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</si>
  <si>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</si>
  <si>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</si>
  <si>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</si>
  <si>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</si>
  <si>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</si>
  <si>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</si>
  <si>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</si>
  <si>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</si>
  <si>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</si>
  <si>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</si>
  <si>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</si>
  <si>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</si>
  <si>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</si>
  <si>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</si>
  <si>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</si>
  <si>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</si>
  <si>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</si>
  <si>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</si>
  <si>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</si>
  <si>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</si>
  <si>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</si>
  <si>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</si>
  <si>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</si>
  <si>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</si>
  <si>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</si>
  <si>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</si>
  <si>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</si>
  <si>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</si>
  <si>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b1032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</si>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</sst>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49" fontId="250" fillId="41" borderId="13" xfId="34" applyNumberFormat="1" applyFont="1" applyFill="1" applyBorder="1" applyAlignment="1" applyProtection="1">
      <alignment horizontal="center"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Твърдица</v>
      </c>
      <c r="C2" s="1726"/>
      <c r="D2" s="1727"/>
      <c r="E2" s="1019"/>
      <c r="F2" s="1020">
        <f>+OTCHET!H9</f>
        <v>0</v>
      </c>
      <c r="G2" s="1021" t="str">
        <f>+OTCHET!F12</f>
        <v>7004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43524</v>
      </c>
      <c r="M6" s="1019"/>
      <c r="N6" s="1044" t="s">
        <v>998</v>
      </c>
      <c r="O6" s="1008"/>
      <c r="P6" s="1045">
        <f>OTCHET!F9</f>
        <v>43524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43524</v>
      </c>
      <c r="H9" s="1019"/>
      <c r="I9" s="1069">
        <f>+L4</f>
        <v>2019</v>
      </c>
      <c r="J9" s="1070">
        <f>+L6</f>
        <v>43524</v>
      </c>
      <c r="K9" s="1071"/>
      <c r="L9" s="1072">
        <f>+L6</f>
        <v>43524</v>
      </c>
      <c r="M9" s="1071"/>
      <c r="N9" s="1073">
        <f>+L6</f>
        <v>43524</v>
      </c>
      <c r="O9" s="1074"/>
      <c r="P9" s="1075">
        <f>+L4</f>
        <v>2019</v>
      </c>
      <c r="Q9" s="1073">
        <f>+L6</f>
        <v>43524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2</v>
      </c>
      <c r="K20" s="1095"/>
      <c r="L20" s="1114">
        <f t="shared" si="4"/>
        <v>0</v>
      </c>
      <c r="M20" s="1095"/>
      <c r="N20" s="1115">
        <f t="shared" si="5"/>
        <v>2</v>
      </c>
      <c r="O20" s="1097"/>
      <c r="P20" s="1113">
        <f>+ROUND(+SUM(OTCHET!E81:E89),0)</f>
        <v>0</v>
      </c>
      <c r="Q20" s="1114">
        <f>+ROUND(+SUM(OTCHET!L81:L89),0)</f>
        <v>2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2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2</v>
      </c>
      <c r="O23" s="1097"/>
      <c r="P23" s="1125">
        <f>+ROUND(+SUM(P13,P14,P16,P17,P18,P19,P20,P21,P22),0)</f>
        <v>0</v>
      </c>
      <c r="Q23" s="1125">
        <f>+ROUND(+SUM(Q13,Q14,Q16,Q17,Q18,Q19,Q20,Q21,Q22),0)</f>
        <v>2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2</v>
      </c>
      <c r="K48" s="1095"/>
      <c r="L48" s="1200">
        <f>+ROUND(L23+L28+L35+L40+L46,0)</f>
        <v>0</v>
      </c>
      <c r="M48" s="1095"/>
      <c r="N48" s="1201">
        <f>+ROUND(N23+N28+N35+N40+N46,0)</f>
        <v>2</v>
      </c>
      <c r="O48" s="1202"/>
      <c r="P48" s="1199">
        <f>+ROUND(P23+P28+P35+P40+P46,0)</f>
        <v>0</v>
      </c>
      <c r="Q48" s="1200">
        <f>+ROUND(Q23+Q28+Q35+Q40+Q46,0)</f>
        <v>2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126586</v>
      </c>
      <c r="K51" s="1095"/>
      <c r="L51" s="1102">
        <f>+IF($P$2=33,$Q51,0)</f>
        <v>0</v>
      </c>
      <c r="M51" s="1095"/>
      <c r="N51" s="1132">
        <f>+ROUND(+G51+J51+L51,0)</f>
        <v>126586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126586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80848</v>
      </c>
      <c r="K54" s="1095"/>
      <c r="L54" s="1120">
        <f>+IF($P$2=33,$Q54,0)</f>
        <v>0</v>
      </c>
      <c r="M54" s="1095"/>
      <c r="N54" s="1121">
        <f>+ROUND(+G54+J54+L54,0)</f>
        <v>80848</v>
      </c>
      <c r="O54" s="1097"/>
      <c r="P54" s="1119">
        <f>+ROUND(OTCHET!E187+OTCHET!E190,0)</f>
        <v>0</v>
      </c>
      <c r="Q54" s="1120">
        <f>+ROUND(OTCHET!L187+OTCHET!L190,0)</f>
        <v>80848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15762</v>
      </c>
      <c r="K55" s="1095"/>
      <c r="L55" s="1120">
        <f>+IF($P$2=33,$Q55,0)</f>
        <v>0</v>
      </c>
      <c r="M55" s="1095"/>
      <c r="N55" s="1121">
        <f>+ROUND(+G55+J55+L55,0)</f>
        <v>15762</v>
      </c>
      <c r="O55" s="1097"/>
      <c r="P55" s="1119">
        <f>+ROUND(OTCHET!E196+OTCHET!E204,0)</f>
        <v>0</v>
      </c>
      <c r="Q55" s="1120">
        <f>+ROUND(OTCHET!L196+OTCHET!L204,0)</f>
        <v>15762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223196</v>
      </c>
      <c r="K56" s="1095"/>
      <c r="L56" s="1208">
        <f>+ROUND(+SUM(L51:L55),0)</f>
        <v>0</v>
      </c>
      <c r="M56" s="1095"/>
      <c r="N56" s="1209">
        <f>+ROUND(+SUM(N51:N55),0)</f>
        <v>223196</v>
      </c>
      <c r="O56" s="1097"/>
      <c r="P56" s="1207">
        <f>+ROUND(+SUM(P51:P55),0)</f>
        <v>0</v>
      </c>
      <c r="Q56" s="1208">
        <f>+ROUND(+SUM(Q51:Q55),0)</f>
        <v>223196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6588</v>
      </c>
      <c r="K69" s="1095"/>
      <c r="L69" s="1102">
        <f>+IF($P$2=33,$Q69,0)</f>
        <v>0</v>
      </c>
      <c r="M69" s="1095"/>
      <c r="N69" s="1132">
        <f>+ROUND(+G69+J69+L69,0)</f>
        <v>6588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6588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6588</v>
      </c>
      <c r="K71" s="1095"/>
      <c r="L71" s="1208">
        <f>+ROUND(+SUM(L69:L70),0)</f>
        <v>0</v>
      </c>
      <c r="M71" s="1095"/>
      <c r="N71" s="1209">
        <f>+ROUND(+SUM(N69:N70),0)</f>
        <v>6588</v>
      </c>
      <c r="O71" s="1097"/>
      <c r="P71" s="1207">
        <f>+ROUND(+SUM(P69:P70),0)</f>
        <v>0</v>
      </c>
      <c r="Q71" s="1208">
        <f>+ROUND(+SUM(Q69:Q70),0)</f>
        <v>6588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229784</v>
      </c>
      <c r="K77" s="1095"/>
      <c r="L77" s="1233">
        <f>+ROUND(L56+L63+L67+L71+L75,0)</f>
        <v>0</v>
      </c>
      <c r="M77" s="1095"/>
      <c r="N77" s="1234">
        <f>+ROUND(N56+N63+N67+N71+N75,0)</f>
        <v>229784</v>
      </c>
      <c r="O77" s="1097"/>
      <c r="P77" s="1231">
        <f>+ROUND(P56+P63+P67+P71+P75,0)</f>
        <v>0</v>
      </c>
      <c r="Q77" s="1232">
        <f>+ROUND(Q56+Q63+Q67+Q71+Q75,0)</f>
        <v>229784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102070</v>
      </c>
      <c r="K79" s="1095"/>
      <c r="L79" s="1108">
        <f>+IF($P$2=33,$Q79,0)</f>
        <v>0</v>
      </c>
      <c r="M79" s="1095"/>
      <c r="N79" s="1109">
        <f>+ROUND(+G79+J79+L79,0)</f>
        <v>102070</v>
      </c>
      <c r="O79" s="1097"/>
      <c r="P79" s="1107">
        <f>+ROUND(OTCHET!E419,0)</f>
        <v>0</v>
      </c>
      <c r="Q79" s="1108">
        <f>+ROUND(OTCHET!L419,0)</f>
        <v>102070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9078</v>
      </c>
      <c r="K80" s="1095"/>
      <c r="L80" s="1120">
        <f>+IF($P$2=33,$Q80,0)</f>
        <v>0</v>
      </c>
      <c r="M80" s="1095"/>
      <c r="N80" s="1121">
        <f>+ROUND(+G80+J80+L80,0)</f>
        <v>9078</v>
      </c>
      <c r="O80" s="1097"/>
      <c r="P80" s="1119">
        <f>+ROUND(OTCHET!E429,0)</f>
        <v>0</v>
      </c>
      <c r="Q80" s="1120">
        <f>+ROUND(OTCHET!L429,0)</f>
        <v>9078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111148</v>
      </c>
      <c r="K81" s="1095"/>
      <c r="L81" s="1242">
        <f>+ROUND(L79+L80,0)</f>
        <v>0</v>
      </c>
      <c r="M81" s="1095"/>
      <c r="N81" s="1243">
        <f>+ROUND(N79+N80,0)</f>
        <v>111148</v>
      </c>
      <c r="O81" s="1097"/>
      <c r="P81" s="1241">
        <f>+ROUND(P79+P80,0)</f>
        <v>0</v>
      </c>
      <c r="Q81" s="1242">
        <f>+ROUND(Q79+Q80,0)</f>
        <v>111148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-118634</v>
      </c>
      <c r="K83" s="1095"/>
      <c r="L83" s="1255">
        <f>+ROUND(L48,0)-ROUND(L77,0)+ROUND(L81,0)</f>
        <v>0</v>
      </c>
      <c r="M83" s="1095"/>
      <c r="N83" s="1256">
        <f>+ROUND(N48,0)-ROUND(N77,0)+ROUND(N81,0)</f>
        <v>-118634</v>
      </c>
      <c r="O83" s="1257"/>
      <c r="P83" s="1254">
        <f>+ROUND(P48,0)-ROUND(P77,0)+ROUND(P81,0)</f>
        <v>0</v>
      </c>
      <c r="Q83" s="1255">
        <f>+ROUND(Q48,0)-ROUND(Q77,0)+ROUND(Q81,0)</f>
        <v>-118634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118634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118634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118634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16544</v>
      </c>
      <c r="K123" s="1095"/>
      <c r="L123" s="1120">
        <f>+IF($P$2=33,$Q123,0)</f>
        <v>0</v>
      </c>
      <c r="M123" s="1095"/>
      <c r="N123" s="1121">
        <f>+ROUND(+G123+J123+L123,0)</f>
        <v>16544</v>
      </c>
      <c r="O123" s="1097"/>
      <c r="P123" s="1119">
        <f>+ROUND(OTCHET!E524,0)</f>
        <v>0</v>
      </c>
      <c r="Q123" s="1120">
        <f>+ROUND(OTCHET!L524,0)</f>
        <v>16544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16544</v>
      </c>
      <c r="K127" s="1095"/>
      <c r="L127" s="1242">
        <f>+ROUND(+SUM(L122:L126),0)</f>
        <v>0</v>
      </c>
      <c r="M127" s="1095"/>
      <c r="N127" s="1243">
        <f>+ROUND(+SUM(N122:N126),0)</f>
        <v>16544</v>
      </c>
      <c r="O127" s="1097"/>
      <c r="P127" s="1241">
        <f>+ROUND(+SUM(P122:P126),0)</f>
        <v>0</v>
      </c>
      <c r="Q127" s="1242">
        <f>+ROUND(+SUM(Q122:Q126),0)</f>
        <v>16544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195511</v>
      </c>
      <c r="K129" s="1095"/>
      <c r="L129" s="1108">
        <f>+IF($P$2=33,$Q129,0)</f>
        <v>0</v>
      </c>
      <c r="M129" s="1095"/>
      <c r="N129" s="1109">
        <f>+ROUND(+G129+J129+L129,0)</f>
        <v>195511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195511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93421</v>
      </c>
      <c r="K131" s="1095"/>
      <c r="L131" s="1120">
        <f>+IF($P$2=33,$Q131,0)</f>
        <v>0</v>
      </c>
      <c r="M131" s="1095"/>
      <c r="N131" s="1121">
        <f>+ROUND(+G131+J131+L131,0)</f>
        <v>93421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93421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-102090</v>
      </c>
      <c r="K132" s="1095"/>
      <c r="L132" s="1295">
        <f>+ROUND(+L131-L129-L130,0)</f>
        <v>0</v>
      </c>
      <c r="M132" s="1095"/>
      <c r="N132" s="1296">
        <f>+ROUND(+N131-N129-N130,0)</f>
        <v>-102090</v>
      </c>
      <c r="O132" s="1097"/>
      <c r="P132" s="1294">
        <f>+ROUND(+P131-P129-P130,0)</f>
        <v>0</v>
      </c>
      <c r="Q132" s="1295">
        <f>+ROUND(+Q131-Q129-Q130,0)</f>
        <v>-102090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43531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970</v>
      </c>
      <c r="F11" s="707">
        <f>OTCHET!F9</f>
        <v>43524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2062</v>
      </c>
      <c r="F17" s="1741" t="s">
        <v>2063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2</v>
      </c>
      <c r="G22" s="764">
        <f>+G23+G25+G36+G37</f>
        <v>0</v>
      </c>
      <c r="H22" s="765">
        <f>+H23+H25+H36+H37</f>
        <v>2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2</v>
      </c>
      <c r="G25" s="783">
        <f>+G26+G30+G31+G32+G33</f>
        <v>0</v>
      </c>
      <c r="H25" s="784">
        <f>+H26+H30+H31+H32+H33</f>
        <v>2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2</v>
      </c>
      <c r="G26" s="788">
        <f>OTCHET!I74</f>
        <v>0</v>
      </c>
      <c r="H26" s="789">
        <f>OTCHET!J74</f>
        <v>2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229784</v>
      </c>
      <c r="G38" s="848">
        <f>G39+G43+G44+G46+SUM(G48:G52)+G55</f>
        <v>21361</v>
      </c>
      <c r="H38" s="849">
        <f>H39+H43+H44+H46+SUM(H48:H52)+H55</f>
        <v>208423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0</v>
      </c>
      <c r="F39" s="810">
        <f>SUM(F40:F42)</f>
        <v>96610</v>
      </c>
      <c r="G39" s="811">
        <f>SUM(G40:G42)</f>
        <v>13911</v>
      </c>
      <c r="H39" s="812">
        <f>SUM(H40:H42)</f>
        <v>82699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12877</v>
      </c>
      <c r="G40" s="874">
        <f>OTCHET!I187</f>
        <v>10627</v>
      </c>
      <c r="H40" s="875">
        <f>OTCHET!J187</f>
        <v>2250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0</v>
      </c>
      <c r="F41" s="1634">
        <f t="shared" si="1"/>
        <v>67971</v>
      </c>
      <c r="G41" s="1635">
        <f>OTCHET!I190</f>
        <v>740</v>
      </c>
      <c r="H41" s="1636">
        <f>OTCHET!J190</f>
        <v>67231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0</v>
      </c>
      <c r="F42" s="1634">
        <f t="shared" si="1"/>
        <v>15762</v>
      </c>
      <c r="G42" s="1635">
        <f>+OTCHET!I196+OTCHET!I204</f>
        <v>2544</v>
      </c>
      <c r="H42" s="1636">
        <f>+OTCHET!J196+OTCHET!J204</f>
        <v>13218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126586</v>
      </c>
      <c r="G43" s="816">
        <f>+OTCHET!I205+OTCHET!I223+OTCHET!I271</f>
        <v>862</v>
      </c>
      <c r="H43" s="817">
        <f>+OTCHET!J205+OTCHET!J223+OTCHET!J271</f>
        <v>125724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6588</v>
      </c>
      <c r="G46" s="867">
        <f>+OTCHET!I255+OTCHET!I256+OTCHET!I257+OTCHET!I258</f>
        <v>6588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6588</v>
      </c>
      <c r="G47" s="861">
        <f>+OTCHET!I256</f>
        <v>6588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111148</v>
      </c>
      <c r="G56" s="893">
        <f>+G57+G58+G62</f>
        <v>4817</v>
      </c>
      <c r="H56" s="894">
        <f>+H57+H58+H62</f>
        <v>106331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111148</v>
      </c>
      <c r="G58" s="902">
        <f>+OTCHET!I383+OTCHET!I391+OTCHET!I396+OTCHET!I399+OTCHET!I402+OTCHET!I405+OTCHET!I406+OTCHET!I409+OTCHET!I422+OTCHET!I423+OTCHET!I424+OTCHET!I425+OTCHET!I426</f>
        <v>4817</v>
      </c>
      <c r="H58" s="903">
        <f>+OTCHET!J383+OTCHET!J391+OTCHET!J396+OTCHET!J399+OTCHET!J402+OTCHET!J405+OTCHET!J406+OTCHET!J409+OTCHET!J422+OTCHET!J423+OTCHET!J424+OTCHET!J425+OTCHET!J426</f>
        <v>106331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9078</v>
      </c>
      <c r="G59" s="906">
        <f>+OTCHET!I422+OTCHET!I423+OTCHET!I424+OTCHET!I425+OTCHET!I426</f>
        <v>4817</v>
      </c>
      <c r="H59" s="907">
        <f>+OTCHET!J422+OTCHET!J423+OTCHET!J424+OTCHET!J425+OTCHET!J426</f>
        <v>4261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0</v>
      </c>
      <c r="F64" s="927">
        <f>+F22-F38+F56-F63</f>
        <v>-118634</v>
      </c>
      <c r="G64" s="928">
        <f>+G22-G38+G56-G63</f>
        <v>-16544</v>
      </c>
      <c r="H64" s="929">
        <f>+H22-H38+H56-H63</f>
        <v>-102090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118634</v>
      </c>
      <c r="G66" s="938">
        <f>SUM(+G68+G76+G77+G84+G85+G86+G89+G90+G91+G92+G93+G94+G95)</f>
        <v>16544</v>
      </c>
      <c r="H66" s="939">
        <f>SUM(+H68+H76+H77+H84+H85+H86+H89+H90+H91+H92+H93+H94+H95)</f>
        <v>102090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16544</v>
      </c>
      <c r="G86" s="906">
        <f>+G87+G88</f>
        <v>16544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16544</v>
      </c>
      <c r="G88" s="964">
        <f>+OTCHET!I521+OTCHET!I524+OTCHET!I544</f>
        <v>16544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195511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195511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-93421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-93421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 t="str">
        <f>+OTCHET!D603</f>
        <v>Ирина Азманова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 t="str">
        <f>+OTCHET!G600</f>
        <v>Диана Димитрова</v>
      </c>
      <c r="F114" s="174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581">
      <selection activeCell="D605" sqref="D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КСФ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1905</v>
      </c>
      <c r="C9" s="1831"/>
      <c r="D9" s="1832"/>
      <c r="E9" s="115">
        <v>43466</v>
      </c>
      <c r="F9" s="116">
        <v>43524</v>
      </c>
      <c r="G9" s="113"/>
      <c r="H9" s="1415"/>
      <c r="I9" s="1785"/>
      <c r="J9" s="1786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787" t="s">
        <v>969</v>
      </c>
      <c r="J10" s="178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8"/>
      <c r="J11" s="1788"/>
      <c r="K11" s="113"/>
      <c r="L11" s="113"/>
      <c r="M11" s="7">
        <v>1</v>
      </c>
      <c r="N11" s="108"/>
    </row>
    <row r="12" spans="2:14" ht="27" customHeight="1">
      <c r="B12" s="1812" t="str">
        <f>VLOOKUP(F12,PRBK,2,FALSE)</f>
        <v>Твърдица</v>
      </c>
      <c r="C12" s="1813"/>
      <c r="D12" s="1814"/>
      <c r="E12" s="118" t="s">
        <v>963</v>
      </c>
      <c r="F12" s="1586" t="s">
        <v>1546</v>
      </c>
      <c r="G12" s="113"/>
      <c r="H12" s="114"/>
      <c r="I12" s="1788"/>
      <c r="J12" s="1788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3" t="s">
        <v>2052</v>
      </c>
      <c r="F19" s="1754"/>
      <c r="G19" s="1754"/>
      <c r="H19" s="1755"/>
      <c r="I19" s="1836" t="s">
        <v>2053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2</v>
      </c>
      <c r="K74" s="170">
        <f>SUM(K75:K89)</f>
        <v>0</v>
      </c>
      <c r="L74" s="1376">
        <f t="shared" si="13"/>
        <v>2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>
        <v>2</v>
      </c>
      <c r="K81" s="160">
        <v>0</v>
      </c>
      <c r="L81" s="295">
        <f t="shared" si="14"/>
        <v>2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2</v>
      </c>
      <c r="K169" s="213">
        <f t="shared" si="39"/>
        <v>0</v>
      </c>
      <c r="L169" s="210">
        <f t="shared" si="39"/>
        <v>2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КСФ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7" t="str">
        <f>$B$9</f>
        <v>Твърдица</v>
      </c>
      <c r="C176" s="1748"/>
      <c r="D176" s="1749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2" t="str">
        <f>$B$12</f>
        <v>Твърдица</v>
      </c>
      <c r="C179" s="1813"/>
      <c r="D179" s="1814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3" t="s">
        <v>2054</v>
      </c>
      <c r="F183" s="1754"/>
      <c r="G183" s="1754"/>
      <c r="H183" s="1755"/>
      <c r="I183" s="1756" t="s">
        <v>2055</v>
      </c>
      <c r="J183" s="1757"/>
      <c r="K183" s="1757"/>
      <c r="L183" s="175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1" t="s">
        <v>744</v>
      </c>
      <c r="D187" s="176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10627</v>
      </c>
      <c r="J187" s="275">
        <f t="shared" si="41"/>
        <v>2250</v>
      </c>
      <c r="K187" s="276">
        <f t="shared" si="41"/>
        <v>0</v>
      </c>
      <c r="L187" s="273">
        <f t="shared" si="41"/>
        <v>12877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10627</v>
      </c>
      <c r="J188" s="283">
        <f t="shared" si="43"/>
        <v>2250</v>
      </c>
      <c r="K188" s="284">
        <f t="shared" si="43"/>
        <v>0</v>
      </c>
      <c r="L188" s="281">
        <f t="shared" si="43"/>
        <v>12877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3" t="s">
        <v>747</v>
      </c>
      <c r="D190" s="176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740</v>
      </c>
      <c r="J190" s="275">
        <f t="shared" si="44"/>
        <v>67231</v>
      </c>
      <c r="K190" s="276">
        <f t="shared" si="44"/>
        <v>0</v>
      </c>
      <c r="L190" s="273">
        <f t="shared" si="44"/>
        <v>67971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61963</v>
      </c>
      <c r="K191" s="284">
        <f t="shared" si="45"/>
        <v>0</v>
      </c>
      <c r="L191" s="281">
        <f t="shared" si="45"/>
        <v>61963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740</v>
      </c>
      <c r="J192" s="297">
        <f t="shared" si="45"/>
        <v>5268</v>
      </c>
      <c r="K192" s="298">
        <f t="shared" si="45"/>
        <v>0</v>
      </c>
      <c r="L192" s="295">
        <f t="shared" si="45"/>
        <v>6008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5" t="s">
        <v>194</v>
      </c>
      <c r="D196" s="176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2544</v>
      </c>
      <c r="J196" s="275">
        <f t="shared" si="46"/>
        <v>13218</v>
      </c>
      <c r="K196" s="276">
        <f t="shared" si="46"/>
        <v>0</v>
      </c>
      <c r="L196" s="273">
        <f t="shared" si="46"/>
        <v>15762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1314</v>
      </c>
      <c r="J197" s="283">
        <f t="shared" si="47"/>
        <v>8169</v>
      </c>
      <c r="K197" s="284">
        <f t="shared" si="47"/>
        <v>0</v>
      </c>
      <c r="L197" s="281">
        <f t="shared" si="47"/>
        <v>9483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435</v>
      </c>
      <c r="J198" s="297">
        <f t="shared" si="47"/>
        <v>0</v>
      </c>
      <c r="K198" s="298">
        <f t="shared" si="47"/>
        <v>0</v>
      </c>
      <c r="L198" s="295">
        <f t="shared" si="47"/>
        <v>435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537</v>
      </c>
      <c r="J200" s="297">
        <f t="shared" si="47"/>
        <v>3370</v>
      </c>
      <c r="K200" s="298">
        <f t="shared" si="47"/>
        <v>0</v>
      </c>
      <c r="L200" s="295">
        <f t="shared" si="47"/>
        <v>3907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258</v>
      </c>
      <c r="J201" s="297">
        <f t="shared" si="47"/>
        <v>1679</v>
      </c>
      <c r="K201" s="298">
        <f t="shared" si="47"/>
        <v>0</v>
      </c>
      <c r="L201" s="295">
        <f t="shared" si="47"/>
        <v>1937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7" t="s">
        <v>199</v>
      </c>
      <c r="D204" s="176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3" t="s">
        <v>200</v>
      </c>
      <c r="D205" s="176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862</v>
      </c>
      <c r="J205" s="275">
        <f t="shared" si="48"/>
        <v>125724</v>
      </c>
      <c r="K205" s="276">
        <f t="shared" si="48"/>
        <v>0</v>
      </c>
      <c r="L205" s="310">
        <f t="shared" si="48"/>
        <v>126586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862</v>
      </c>
      <c r="J210" s="297">
        <f t="shared" si="49"/>
        <v>0</v>
      </c>
      <c r="K210" s="298">
        <f t="shared" si="49"/>
        <v>0</v>
      </c>
      <c r="L210" s="295">
        <f t="shared" si="49"/>
        <v>862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125724</v>
      </c>
      <c r="K212" s="323">
        <f t="shared" si="49"/>
        <v>0</v>
      </c>
      <c r="L212" s="320">
        <f t="shared" si="49"/>
        <v>125724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9" t="s">
        <v>272</v>
      </c>
      <c r="D223" s="177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9" t="s">
        <v>722</v>
      </c>
      <c r="D227" s="177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9" t="s">
        <v>219</v>
      </c>
      <c r="D233" s="177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9" t="s">
        <v>221</v>
      </c>
      <c r="D236" s="177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9" t="s">
        <v>222</v>
      </c>
      <c r="D237" s="176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9" t="s">
        <v>223</v>
      </c>
      <c r="D238" s="176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9" t="s">
        <v>1658</v>
      </c>
      <c r="D239" s="176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9" t="s">
        <v>224</v>
      </c>
      <c r="D240" s="177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9" t="s">
        <v>234</v>
      </c>
      <c r="D255" s="177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9" t="s">
        <v>235</v>
      </c>
      <c r="D256" s="177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6588</v>
      </c>
      <c r="J256" s="275">
        <f t="shared" si="62"/>
        <v>0</v>
      </c>
      <c r="K256" s="276">
        <f t="shared" si="62"/>
        <v>0</v>
      </c>
      <c r="L256" s="310">
        <f t="shared" si="62"/>
        <v>6588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69" t="s">
        <v>236</v>
      </c>
      <c r="D257" s="177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9" t="s">
        <v>237</v>
      </c>
      <c r="D258" s="177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9" t="s">
        <v>1663</v>
      </c>
      <c r="D265" s="177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9" t="s">
        <v>1660</v>
      </c>
      <c r="D269" s="177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9" t="s">
        <v>1661</v>
      </c>
      <c r="D270" s="177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9" t="s">
        <v>247</v>
      </c>
      <c r="D271" s="176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9" t="s">
        <v>273</v>
      </c>
      <c r="D272" s="177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3" t="s">
        <v>248</v>
      </c>
      <c r="D275" s="177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73" t="s">
        <v>249</v>
      </c>
      <c r="D276" s="177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3" t="s">
        <v>625</v>
      </c>
      <c r="D284" s="177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3" t="s">
        <v>685</v>
      </c>
      <c r="D287" s="177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9" t="s">
        <v>686</v>
      </c>
      <c r="D288" s="177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5" t="s">
        <v>915</v>
      </c>
      <c r="D293" s="177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1" t="s">
        <v>694</v>
      </c>
      <c r="D297" s="177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21361</v>
      </c>
      <c r="J301" s="397">
        <f t="shared" si="77"/>
        <v>208423</v>
      </c>
      <c r="K301" s="398">
        <f t="shared" si="77"/>
        <v>0</v>
      </c>
      <c r="L301" s="395">
        <f t="shared" si="77"/>
        <v>229784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3"/>
      <c r="C306" s="1818"/>
      <c r="D306" s="181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7"/>
      <c r="C308" s="1818"/>
      <c r="D308" s="181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7"/>
      <c r="C311" s="1818"/>
      <c r="D311" s="181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9"/>
      <c r="C344" s="1819"/>
      <c r="D344" s="181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2" t="str">
        <f>$B$7</f>
        <v>ОТЧЕТНИ ДАННИ ПО ЕБК ЗА СМЕТКИТЕ ЗА СРЕДСТВАТА ОТ ЕВРОПЕЙСКИЯ СЪЮЗ - КСФ</v>
      </c>
      <c r="C348" s="1822"/>
      <c r="D348" s="182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7" t="str">
        <f>$B$9</f>
        <v>Твърдица</v>
      </c>
      <c r="C350" s="1748"/>
      <c r="D350" s="1749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2" t="str">
        <f>$B$12</f>
        <v>Твърдица</v>
      </c>
      <c r="C353" s="1813"/>
      <c r="D353" s="1814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9" t="s">
        <v>2056</v>
      </c>
      <c r="F357" s="1840"/>
      <c r="G357" s="1840"/>
      <c r="H357" s="1841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0" t="s">
        <v>276</v>
      </c>
      <c r="D361" s="182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89" t="s">
        <v>287</v>
      </c>
      <c r="D375" s="179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89" t="s">
        <v>309</v>
      </c>
      <c r="D383" s="179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89" t="s">
        <v>253</v>
      </c>
      <c r="D388" s="179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89" t="s">
        <v>254</v>
      </c>
      <c r="D391" s="179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89" t="s">
        <v>256</v>
      </c>
      <c r="D396" s="179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89" t="s">
        <v>257</v>
      </c>
      <c r="D399" s="1790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102070</v>
      </c>
      <c r="K399" s="445">
        <f>SUM(K400:K401)</f>
        <v>0</v>
      </c>
      <c r="L399" s="1378">
        <f t="shared" si="89"/>
        <v>102070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0</v>
      </c>
      <c r="F400" s="158"/>
      <c r="G400" s="159">
        <v>0</v>
      </c>
      <c r="H400" s="154">
        <v>0</v>
      </c>
      <c r="I400" s="158"/>
      <c r="J400" s="159">
        <v>102070</v>
      </c>
      <c r="K400" s="154">
        <v>0</v>
      </c>
      <c r="L400" s="1379">
        <f>I400+J400+K400</f>
        <v>102070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89" t="s">
        <v>922</v>
      </c>
      <c r="D402" s="179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89" t="s">
        <v>680</v>
      </c>
      <c r="D405" s="1790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89" t="s">
        <v>681</v>
      </c>
      <c r="D406" s="179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89" t="s">
        <v>699</v>
      </c>
      <c r="D409" s="179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89" t="s">
        <v>260</v>
      </c>
      <c r="D412" s="179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102070</v>
      </c>
      <c r="K419" s="515">
        <f>SUM(K361,K375,K383,K388,K391,K396,K399,K402,K405,K406,K409,K412)</f>
        <v>0</v>
      </c>
      <c r="L419" s="512">
        <f t="shared" si="95"/>
        <v>102070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89" t="s">
        <v>767</v>
      </c>
      <c r="D422" s="1790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89" t="s">
        <v>704</v>
      </c>
      <c r="D423" s="1790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89" t="s">
        <v>261</v>
      </c>
      <c r="D424" s="1790"/>
      <c r="E424" s="1378">
        <f>F424+G424+H424</f>
        <v>0</v>
      </c>
      <c r="F424" s="483"/>
      <c r="G424" s="484"/>
      <c r="H424" s="1475">
        <v>0</v>
      </c>
      <c r="I424" s="483">
        <v>4817</v>
      </c>
      <c r="J424" s="484">
        <v>4261</v>
      </c>
      <c r="K424" s="1475">
        <v>0</v>
      </c>
      <c r="L424" s="1378">
        <f>I424+J424+K424</f>
        <v>9078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89" t="s">
        <v>683</v>
      </c>
      <c r="D425" s="1790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89" t="s">
        <v>926</v>
      </c>
      <c r="D426" s="179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4817</v>
      </c>
      <c r="J429" s="514">
        <f t="shared" si="97"/>
        <v>4261</v>
      </c>
      <c r="K429" s="515">
        <f t="shared" si="97"/>
        <v>0</v>
      </c>
      <c r="L429" s="512">
        <f t="shared" si="97"/>
        <v>9078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5" t="str">
        <f>$B$7</f>
        <v>ОТЧЕТНИ ДАННИ ПО ЕБК ЗА СМЕТКИТЕ ЗА СРЕДСТВАТА ОТ ЕВРОПЕЙСКИЯ СЪЮЗ - КСФ</v>
      </c>
      <c r="C433" s="1816"/>
      <c r="D433" s="181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47" t="str">
        <f>$B$9</f>
        <v>Твърдица</v>
      </c>
      <c r="C435" s="1748"/>
      <c r="D435" s="1749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2" t="str">
        <f>$B$12</f>
        <v>Твърдица</v>
      </c>
      <c r="C438" s="1813"/>
      <c r="D438" s="1814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3" t="s">
        <v>2058</v>
      </c>
      <c r="F442" s="1754"/>
      <c r="G442" s="1754"/>
      <c r="H442" s="1755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-16544</v>
      </c>
      <c r="J445" s="547">
        <f t="shared" si="99"/>
        <v>-102090</v>
      </c>
      <c r="K445" s="548">
        <f t="shared" si="99"/>
        <v>0</v>
      </c>
      <c r="L445" s="549">
        <f t="shared" si="99"/>
        <v>-118634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16544</v>
      </c>
      <c r="J446" s="554">
        <f t="shared" si="100"/>
        <v>102090</v>
      </c>
      <c r="K446" s="555">
        <f t="shared" si="100"/>
        <v>0</v>
      </c>
      <c r="L446" s="556">
        <f>+L597</f>
        <v>118634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5" t="str">
        <f>$B$7</f>
        <v>ОТЧЕТНИ ДАННИ ПО ЕБК ЗА СМЕТКИТЕ ЗА СРЕДСТВАТА ОТ ЕВРОПЕЙСКИЯ СЪЮЗ - КСФ</v>
      </c>
      <c r="C449" s="1746"/>
      <c r="D449" s="174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47" t="str">
        <f>$B$9</f>
        <v>Твърдица</v>
      </c>
      <c r="C451" s="1748"/>
      <c r="D451" s="1749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2" t="str">
        <f>$B$12</f>
        <v>Твърдица</v>
      </c>
      <c r="C454" s="1813"/>
      <c r="D454" s="1814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33" t="s">
        <v>2060</v>
      </c>
      <c r="F458" s="1834"/>
      <c r="G458" s="1834"/>
      <c r="H458" s="1835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4" t="s">
        <v>768</v>
      </c>
      <c r="D461" s="180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99" t="s">
        <v>771</v>
      </c>
      <c r="D465" s="179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99" t="s">
        <v>1998</v>
      </c>
      <c r="D468" s="179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4" t="s">
        <v>774</v>
      </c>
      <c r="D471" s="180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0" t="s">
        <v>781</v>
      </c>
      <c r="D478" s="180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2" t="s">
        <v>930</v>
      </c>
      <c r="D481" s="180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97" t="s">
        <v>935</v>
      </c>
      <c r="D497" s="180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97" t="s">
        <v>24</v>
      </c>
      <c r="D502" s="1803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6" t="s">
        <v>936</v>
      </c>
      <c r="D503" s="180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2" t="s">
        <v>33</v>
      </c>
      <c r="D512" s="180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2" t="s">
        <v>37</v>
      </c>
      <c r="D516" s="180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2" t="s">
        <v>937</v>
      </c>
      <c r="D521" s="180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97" t="s">
        <v>938</v>
      </c>
      <c r="D524" s="179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16544</v>
      </c>
      <c r="J524" s="580">
        <f t="shared" si="120"/>
        <v>0</v>
      </c>
      <c r="K524" s="581">
        <f t="shared" si="120"/>
        <v>0</v>
      </c>
      <c r="L524" s="578">
        <f t="shared" si="120"/>
        <v>16544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>
        <v>0</v>
      </c>
      <c r="G527" s="159"/>
      <c r="H527" s="585">
        <v>0</v>
      </c>
      <c r="I527" s="158">
        <v>16544</v>
      </c>
      <c r="J527" s="159"/>
      <c r="K527" s="585">
        <v>0</v>
      </c>
      <c r="L527" s="1387">
        <f t="shared" si="116"/>
        <v>16544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0" t="s">
        <v>313</v>
      </c>
      <c r="D531" s="181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2" t="s">
        <v>940</v>
      </c>
      <c r="D535" s="180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07" t="s">
        <v>941</v>
      </c>
      <c r="D536" s="180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09" t="s">
        <v>942</v>
      </c>
      <c r="D541" s="179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2" t="s">
        <v>943</v>
      </c>
      <c r="D544" s="180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09" t="s">
        <v>952</v>
      </c>
      <c r="D566" s="180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102090</v>
      </c>
      <c r="K566" s="581">
        <f t="shared" si="128"/>
        <v>0</v>
      </c>
      <c r="L566" s="578">
        <f t="shared" si="128"/>
        <v>102090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195511</v>
      </c>
      <c r="K567" s="584">
        <v>0</v>
      </c>
      <c r="L567" s="1379">
        <f t="shared" si="116"/>
        <v>195511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>
        <v>-93421</v>
      </c>
      <c r="K573" s="1623">
        <v>0</v>
      </c>
      <c r="L573" s="1393">
        <f t="shared" si="129"/>
        <v>-93421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09" t="s">
        <v>957</v>
      </c>
      <c r="D586" s="179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09" t="s">
        <v>833</v>
      </c>
      <c r="D591" s="179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16544</v>
      </c>
      <c r="J597" s="664">
        <f t="shared" si="133"/>
        <v>102090</v>
      </c>
      <c r="K597" s="666">
        <f t="shared" si="133"/>
        <v>0</v>
      </c>
      <c r="L597" s="662">
        <f t="shared" si="133"/>
        <v>118634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91" t="s">
        <v>2074</v>
      </c>
      <c r="H600" s="1792"/>
      <c r="I600" s="1792"/>
      <c r="J600" s="179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79" t="s">
        <v>877</v>
      </c>
      <c r="H601" s="1779"/>
      <c r="I601" s="1779"/>
      <c r="J601" s="177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2073</v>
      </c>
      <c r="E603" s="671"/>
      <c r="F603" s="218" t="s">
        <v>879</v>
      </c>
      <c r="G603" s="1794" t="s">
        <v>2075</v>
      </c>
      <c r="H603" s="1795"/>
      <c r="I603" s="1795"/>
      <c r="J603" s="1796"/>
      <c r="K603" s="103"/>
      <c r="L603" s="228"/>
      <c r="M603" s="7">
        <v>1</v>
      </c>
      <c r="N603" s="518"/>
    </row>
    <row r="604" spans="1:14" ht="21.75" customHeight="1">
      <c r="A604" s="23"/>
      <c r="B604" s="1777" t="s">
        <v>880</v>
      </c>
      <c r="C604" s="1778"/>
      <c r="D604" s="672" t="s">
        <v>881</v>
      </c>
      <c r="E604" s="673"/>
      <c r="F604" s="674"/>
      <c r="G604" s="1779" t="s">
        <v>877</v>
      </c>
      <c r="H604" s="1779"/>
      <c r="I604" s="1779"/>
      <c r="J604" s="1779"/>
      <c r="K604" s="103"/>
      <c r="L604" s="228"/>
      <c r="M604" s="7">
        <v>1</v>
      </c>
      <c r="N604" s="518"/>
    </row>
    <row r="605" spans="1:14" ht="24.75" customHeight="1">
      <c r="A605" s="36"/>
      <c r="B605" s="1780">
        <v>43531</v>
      </c>
      <c r="C605" s="1781"/>
      <c r="D605" s="675" t="s">
        <v>882</v>
      </c>
      <c r="E605" s="676" t="s">
        <v>2076</v>
      </c>
      <c r="F605" s="677"/>
      <c r="G605" s="678" t="s">
        <v>883</v>
      </c>
      <c r="H605" s="1782"/>
      <c r="I605" s="1783"/>
      <c r="J605" s="178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82"/>
      <c r="I607" s="1783"/>
      <c r="J607" s="178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5" t="str">
        <f>$B$7</f>
        <v>ОТЧЕТНИ ДАННИ ПО ЕБК ЗА СМЕТКИТЕ ЗА СРЕДСТВАТА ОТ ЕВРОПЕЙСКИЯ СЪЮЗ - КСФ</v>
      </c>
      <c r="C621" s="1746"/>
      <c r="D621" s="174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47" t="str">
        <f>$B$9</f>
        <v>Твърдица</v>
      </c>
      <c r="C623" s="1748"/>
      <c r="D623" s="1749"/>
      <c r="E623" s="115">
        <f>$E$9</f>
        <v>43466</v>
      </c>
      <c r="F623" s="226">
        <f>$F$9</f>
        <v>43524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0" t="str">
        <f>$B$12</f>
        <v>Твърдица</v>
      </c>
      <c r="C626" s="1751"/>
      <c r="D626" s="1752"/>
      <c r="E626" s="410" t="s">
        <v>890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53" t="s">
        <v>2049</v>
      </c>
      <c r="F630" s="1754"/>
      <c r="G630" s="1754"/>
      <c r="H630" s="1755"/>
      <c r="I630" s="1756" t="s">
        <v>2050</v>
      </c>
      <c r="J630" s="1757"/>
      <c r="K630" s="1757"/>
      <c r="L630" s="175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4" t="str">
        <f>VLOOKUP(D633,OP_LIST2,2,FALSE)</f>
        <v>98313</v>
      </c>
      <c r="D633" s="1452" t="s">
        <v>1237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1" t="s">
        <v>744</v>
      </c>
      <c r="D637" s="1762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10627</v>
      </c>
      <c r="J637" s="275">
        <f t="shared" si="134"/>
        <v>0</v>
      </c>
      <c r="K637" s="276">
        <f t="shared" si="134"/>
        <v>0</v>
      </c>
      <c r="L637" s="273">
        <f t="shared" si="134"/>
        <v>10627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>
        <v>10627</v>
      </c>
      <c r="J638" s="153"/>
      <c r="K638" s="1418"/>
      <c r="L638" s="281">
        <f>I638+J638+K638</f>
        <v>10627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3" t="s">
        <v>747</v>
      </c>
      <c r="D640" s="1764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740</v>
      </c>
      <c r="J640" s="275">
        <f t="shared" si="136"/>
        <v>0</v>
      </c>
      <c r="K640" s="276">
        <f t="shared" si="136"/>
        <v>0</v>
      </c>
      <c r="L640" s="273">
        <f t="shared" si="136"/>
        <v>740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>
        <v>740</v>
      </c>
      <c r="J642" s="159"/>
      <c r="K642" s="1420"/>
      <c r="L642" s="295">
        <f>I642+J642+K642</f>
        <v>740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5" t="s">
        <v>194</v>
      </c>
      <c r="D646" s="1766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2544</v>
      </c>
      <c r="J646" s="275">
        <f t="shared" si="137"/>
        <v>0</v>
      </c>
      <c r="K646" s="276">
        <f t="shared" si="137"/>
        <v>0</v>
      </c>
      <c r="L646" s="273">
        <f t="shared" si="137"/>
        <v>2544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>
        <v>1314</v>
      </c>
      <c r="J647" s="153"/>
      <c r="K647" s="1418"/>
      <c r="L647" s="281">
        <f aca="true" t="shared" si="139" ref="L647:L654">I647+J647+K647</f>
        <v>1314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 t="shared" si="138"/>
        <v>0</v>
      </c>
      <c r="F648" s="158"/>
      <c r="G648" s="159"/>
      <c r="H648" s="1420"/>
      <c r="I648" s="158">
        <v>435</v>
      </c>
      <c r="J648" s="159"/>
      <c r="K648" s="1420"/>
      <c r="L648" s="295">
        <f t="shared" si="139"/>
        <v>435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>
        <v>537</v>
      </c>
      <c r="J650" s="159"/>
      <c r="K650" s="1420"/>
      <c r="L650" s="295">
        <f t="shared" si="139"/>
        <v>537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>
        <v>258</v>
      </c>
      <c r="J651" s="159"/>
      <c r="K651" s="1420"/>
      <c r="L651" s="295">
        <f t="shared" si="139"/>
        <v>258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7" t="s">
        <v>199</v>
      </c>
      <c r="D654" s="176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3" t="s">
        <v>200</v>
      </c>
      <c r="D655" s="1764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862</v>
      </c>
      <c r="J655" s="275">
        <f t="shared" si="140"/>
        <v>0</v>
      </c>
      <c r="K655" s="276">
        <f t="shared" si="140"/>
        <v>0</v>
      </c>
      <c r="L655" s="310">
        <f t="shared" si="140"/>
        <v>862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862</v>
      </c>
      <c r="J660" s="159"/>
      <c r="K660" s="1420"/>
      <c r="L660" s="295">
        <f t="shared" si="142"/>
        <v>862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9" t="s">
        <v>272</v>
      </c>
      <c r="D673" s="1770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9" t="s">
        <v>722</v>
      </c>
      <c r="D677" s="1770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9" t="s">
        <v>219</v>
      </c>
      <c r="D683" s="1770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9" t="s">
        <v>221</v>
      </c>
      <c r="D686" s="1770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9" t="s">
        <v>222</v>
      </c>
      <c r="D687" s="1760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9" t="s">
        <v>223</v>
      </c>
      <c r="D688" s="1760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9" t="s">
        <v>1662</v>
      </c>
      <c r="D689" s="1760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9" t="s">
        <v>224</v>
      </c>
      <c r="D690" s="1770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1659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9" t="s">
        <v>234</v>
      </c>
      <c r="D705" s="1770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9" t="s">
        <v>235</v>
      </c>
      <c r="D706" s="1770"/>
      <c r="E706" s="310">
        <f t="shared" si="153"/>
        <v>0</v>
      </c>
      <c r="F706" s="1422"/>
      <c r="G706" s="1423"/>
      <c r="H706" s="1424"/>
      <c r="I706" s="1422">
        <v>6588</v>
      </c>
      <c r="J706" s="1423"/>
      <c r="K706" s="1424"/>
      <c r="L706" s="310">
        <f t="shared" si="154"/>
        <v>6588</v>
      </c>
      <c r="M706" s="12">
        <f t="shared" si="155"/>
        <v>1</v>
      </c>
      <c r="N706" s="13"/>
    </row>
    <row r="707" spans="2:14" ht="15.75">
      <c r="B707" s="272">
        <v>4100</v>
      </c>
      <c r="C707" s="1769" t="s">
        <v>236</v>
      </c>
      <c r="D707" s="1770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9" t="s">
        <v>237</v>
      </c>
      <c r="D708" s="1770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9" t="s">
        <v>1663</v>
      </c>
      <c r="D715" s="1770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9" t="s">
        <v>1660</v>
      </c>
      <c r="D719" s="1770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9" t="s">
        <v>1661</v>
      </c>
      <c r="D720" s="1770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9" t="s">
        <v>247</v>
      </c>
      <c r="D721" s="1760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9" t="s">
        <v>273</v>
      </c>
      <c r="D722" s="1770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3" t="s">
        <v>248</v>
      </c>
      <c r="D725" s="177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73" t="s">
        <v>249</v>
      </c>
      <c r="D726" s="177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3" t="s">
        <v>625</v>
      </c>
      <c r="D734" s="177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3" t="s">
        <v>685</v>
      </c>
      <c r="D737" s="177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9" t="s">
        <v>686</v>
      </c>
      <c r="D738" s="1770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5" t="s">
        <v>915</v>
      </c>
      <c r="D743" s="1776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1" t="s">
        <v>694</v>
      </c>
      <c r="D747" s="177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1" t="s">
        <v>694</v>
      </c>
      <c r="D748" s="177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21361</v>
      </c>
      <c r="J752" s="397">
        <f t="shared" si="169"/>
        <v>0</v>
      </c>
      <c r="K752" s="398">
        <f t="shared" si="169"/>
        <v>0</v>
      </c>
      <c r="L752" s="395">
        <f t="shared" si="169"/>
        <v>21361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45" t="str">
        <f>$B$7</f>
        <v>ОТЧЕТНИ ДАННИ ПО ЕБК ЗА СМЕТКИТЕ ЗА СРЕДСТВАТА ОТ ЕВРОПЕЙСКИЯ СЪЮЗ - КСФ</v>
      </c>
      <c r="C759" s="1746"/>
      <c r="D759" s="1746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47" t="str">
        <f>$B$9</f>
        <v>Твърдица</v>
      </c>
      <c r="C761" s="1748"/>
      <c r="D761" s="1749"/>
      <c r="E761" s="115">
        <f>$E$9</f>
        <v>43466</v>
      </c>
      <c r="F761" s="226">
        <f>$F$9</f>
        <v>43524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50" t="str">
        <f>$B$12</f>
        <v>Твърдица</v>
      </c>
      <c r="C764" s="1751"/>
      <c r="D764" s="1752"/>
      <c r="E764" s="410" t="s">
        <v>890</v>
      </c>
      <c r="F764" s="1360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53" t="s">
        <v>2049</v>
      </c>
      <c r="F768" s="1754"/>
      <c r="G768" s="1754"/>
      <c r="H768" s="1755"/>
      <c r="I768" s="1756" t="s">
        <v>2050</v>
      </c>
      <c r="J768" s="1757"/>
      <c r="K768" s="1757"/>
      <c r="L768" s="1758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664" t="str">
        <f>VLOOKUP(D771,OP_LIST2,2,FALSE)</f>
        <v>98311</v>
      </c>
      <c r="D771" s="1452" t="s">
        <v>1233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5532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5532</v>
      </c>
      <c r="D773" s="1452" t="s">
        <v>564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61" t="s">
        <v>744</v>
      </c>
      <c r="D775" s="1762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63" t="s">
        <v>747</v>
      </c>
      <c r="D778" s="1764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61963</v>
      </c>
      <c r="K778" s="276">
        <f t="shared" si="172"/>
        <v>0</v>
      </c>
      <c r="L778" s="273">
        <f t="shared" si="172"/>
        <v>61963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>
        <v>61963</v>
      </c>
      <c r="K779" s="1418"/>
      <c r="L779" s="281">
        <f>I779+J779+K779</f>
        <v>61963</v>
      </c>
      <c r="M779" s="12">
        <f t="shared" si="171"/>
        <v>1</v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65" t="s">
        <v>194</v>
      </c>
      <c r="D784" s="1766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11962</v>
      </c>
      <c r="K784" s="276">
        <f t="shared" si="173"/>
        <v>0</v>
      </c>
      <c r="L784" s="273">
        <f t="shared" si="173"/>
        <v>11962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>
        <v>7473</v>
      </c>
      <c r="K785" s="1418"/>
      <c r="L785" s="281">
        <f aca="true" t="shared" si="175" ref="L785:L792">I785+J785+K785</f>
        <v>7473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>
        <v>3016</v>
      </c>
      <c r="K788" s="1420"/>
      <c r="L788" s="295">
        <f t="shared" si="175"/>
        <v>3016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>
        <v>1473</v>
      </c>
      <c r="K789" s="1420"/>
      <c r="L789" s="295">
        <f t="shared" si="175"/>
        <v>1473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67" t="s">
        <v>199</v>
      </c>
      <c r="D792" s="176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63" t="s">
        <v>200</v>
      </c>
      <c r="D793" s="1764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69" t="s">
        <v>272</v>
      </c>
      <c r="D811" s="1770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69" t="s">
        <v>722</v>
      </c>
      <c r="D815" s="1770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69" t="s">
        <v>219</v>
      </c>
      <c r="D821" s="1770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69" t="s">
        <v>221</v>
      </c>
      <c r="D824" s="1770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59" t="s">
        <v>222</v>
      </c>
      <c r="D825" s="1760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59" t="s">
        <v>223</v>
      </c>
      <c r="D826" s="1760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59" t="s">
        <v>1662</v>
      </c>
      <c r="D827" s="1760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69" t="s">
        <v>224</v>
      </c>
      <c r="D828" s="1770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1659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69" t="s">
        <v>234</v>
      </c>
      <c r="D843" s="1770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69" t="s">
        <v>235</v>
      </c>
      <c r="D844" s="1770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69" t="s">
        <v>236</v>
      </c>
      <c r="D845" s="1770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69" t="s">
        <v>237</v>
      </c>
      <c r="D846" s="1770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69" t="s">
        <v>1663</v>
      </c>
      <c r="D853" s="1770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69" t="s">
        <v>1660</v>
      </c>
      <c r="D857" s="1770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69" t="s">
        <v>1661</v>
      </c>
      <c r="D858" s="1770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59" t="s">
        <v>247</v>
      </c>
      <c r="D859" s="1760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69" t="s">
        <v>273</v>
      </c>
      <c r="D860" s="1770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73" t="s">
        <v>248</v>
      </c>
      <c r="D863" s="1774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73" t="s">
        <v>249</v>
      </c>
      <c r="D864" s="1774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73" t="s">
        <v>625</v>
      </c>
      <c r="D872" s="1774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73" t="s">
        <v>685</v>
      </c>
      <c r="D875" s="1774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69" t="s">
        <v>686</v>
      </c>
      <c r="D876" s="1770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75" t="s">
        <v>915</v>
      </c>
      <c r="D881" s="1776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71" t="s">
        <v>694</v>
      </c>
      <c r="D885" s="177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71" t="s">
        <v>694</v>
      </c>
      <c r="D886" s="177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73925</v>
      </c>
      <c r="K890" s="398">
        <f t="shared" si="205"/>
        <v>0</v>
      </c>
      <c r="L890" s="395">
        <f t="shared" si="205"/>
        <v>73925</v>
      </c>
      <c r="M890" s="12">
        <f t="shared" si="202"/>
        <v>1</v>
      </c>
      <c r="N890" s="73" t="str">
        <f>LEFT(C772,1)</f>
        <v>5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45" t="str">
        <f>$B$7</f>
        <v>ОТЧЕТНИ ДАННИ ПО ЕБК ЗА СМЕТКИТЕ ЗА СРЕДСТВАТА ОТ ЕВРОПЕЙСКИЯ СЪЮЗ - КСФ</v>
      </c>
      <c r="C897" s="1746"/>
      <c r="D897" s="1746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1253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47" t="str">
        <f>$B$9</f>
        <v>Твърдица</v>
      </c>
      <c r="C899" s="1748"/>
      <c r="D899" s="1749"/>
      <c r="E899" s="115">
        <f>$E$9</f>
        <v>43466</v>
      </c>
      <c r="F899" s="226">
        <f>$F$9</f>
        <v>43524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50" t="str">
        <f>$B$12</f>
        <v>Твърдица</v>
      </c>
      <c r="C902" s="1751"/>
      <c r="D902" s="1752"/>
      <c r="E902" s="410" t="s">
        <v>890</v>
      </c>
      <c r="F902" s="1360" t="str">
        <f>$F$12</f>
        <v>7004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98</v>
      </c>
      <c r="F904" s="414" t="str">
        <f>$F$15</f>
        <v>СЕС - КСФ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53" t="s">
        <v>2049</v>
      </c>
      <c r="F906" s="1754"/>
      <c r="G906" s="1754"/>
      <c r="H906" s="1755"/>
      <c r="I906" s="1756" t="s">
        <v>2050</v>
      </c>
      <c r="J906" s="1757"/>
      <c r="K906" s="1757"/>
      <c r="L906" s="1758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27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664">
        <f>VLOOKUP(D909,OP_LIST2,2,FALSE)</f>
        <v>98315</v>
      </c>
      <c r="D909" s="1452" t="s">
        <v>1239</v>
      </c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5524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5524</v>
      </c>
      <c r="D911" s="1452" t="s">
        <v>556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61" t="s">
        <v>744</v>
      </c>
      <c r="D913" s="1762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2250</v>
      </c>
      <c r="K913" s="276">
        <f t="shared" si="206"/>
        <v>0</v>
      </c>
      <c r="L913" s="273">
        <f t="shared" si="206"/>
        <v>2250</v>
      </c>
      <c r="M913" s="12">
        <f aca="true" t="shared" si="207" ref="M913:M944">(IF($E913&lt;&gt;0,$M$2,IF($L913&lt;&gt;0,$M$2,"")))</f>
        <v>1</v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>
        <v>2250</v>
      </c>
      <c r="K914" s="1418"/>
      <c r="L914" s="281">
        <f>I914+J914+K914</f>
        <v>2250</v>
      </c>
      <c r="M914" s="12">
        <f t="shared" si="207"/>
        <v>1</v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63" t="s">
        <v>747</v>
      </c>
      <c r="D916" s="1764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5268</v>
      </c>
      <c r="K916" s="276">
        <f t="shared" si="208"/>
        <v>0</v>
      </c>
      <c r="L916" s="273">
        <f t="shared" si="208"/>
        <v>5268</v>
      </c>
      <c r="M916" s="12">
        <f t="shared" si="207"/>
        <v>1</v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>
        <v>5268</v>
      </c>
      <c r="K918" s="1420"/>
      <c r="L918" s="295">
        <f>I918+J918+K918</f>
        <v>5268</v>
      </c>
      <c r="M918" s="12">
        <f t="shared" si="207"/>
        <v>1</v>
      </c>
      <c r="N918" s="13"/>
    </row>
    <row r="919" spans="2:14" ht="31.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65" t="s">
        <v>194</v>
      </c>
      <c r="D922" s="1766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1256</v>
      </c>
      <c r="K922" s="276">
        <f t="shared" si="209"/>
        <v>0</v>
      </c>
      <c r="L922" s="273">
        <f t="shared" si="209"/>
        <v>1256</v>
      </c>
      <c r="M922" s="12">
        <f t="shared" si="207"/>
        <v>1</v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>
        <v>696</v>
      </c>
      <c r="K923" s="1418"/>
      <c r="L923" s="281">
        <f aca="true" t="shared" si="211" ref="L923:L930">I923+J923+K923</f>
        <v>696</v>
      </c>
      <c r="M923" s="12">
        <f t="shared" si="207"/>
        <v>1</v>
      </c>
      <c r="N923" s="13"/>
    </row>
    <row r="924" spans="2:14" ht="15.75">
      <c r="B924" s="291"/>
      <c r="C924" s="304">
        <v>552</v>
      </c>
      <c r="D924" s="305" t="s">
        <v>910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>
        <v>354</v>
      </c>
      <c r="K926" s="1420"/>
      <c r="L926" s="295">
        <f t="shared" si="211"/>
        <v>354</v>
      </c>
      <c r="M926" s="12">
        <f t="shared" si="207"/>
        <v>1</v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>
        <v>206</v>
      </c>
      <c r="K927" s="1420"/>
      <c r="L927" s="295">
        <f t="shared" si="211"/>
        <v>206</v>
      </c>
      <c r="M927" s="12">
        <f t="shared" si="207"/>
        <v>1</v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67" t="s">
        <v>199</v>
      </c>
      <c r="D930" s="176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63" t="s">
        <v>200</v>
      </c>
      <c r="D931" s="1764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125724</v>
      </c>
      <c r="K931" s="276">
        <f t="shared" si="212"/>
        <v>0</v>
      </c>
      <c r="L931" s="310">
        <f t="shared" si="212"/>
        <v>125724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>
        <v>125724</v>
      </c>
      <c r="K938" s="1428"/>
      <c r="L938" s="320">
        <f t="shared" si="214"/>
        <v>125724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911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69" t="s">
        <v>272</v>
      </c>
      <c r="D949" s="1770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912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913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914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69" t="s">
        <v>722</v>
      </c>
      <c r="D953" s="1770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69" t="s">
        <v>219</v>
      </c>
      <c r="D959" s="1770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69" t="s">
        <v>221</v>
      </c>
      <c r="D962" s="1770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59" t="s">
        <v>222</v>
      </c>
      <c r="D963" s="1760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59" t="s">
        <v>223</v>
      </c>
      <c r="D964" s="1760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59" t="s">
        <v>1662</v>
      </c>
      <c r="D965" s="1760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69" t="s">
        <v>224</v>
      </c>
      <c r="D966" s="1770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1996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2015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2046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1659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69" t="s">
        <v>234</v>
      </c>
      <c r="D981" s="1770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69" t="s">
        <v>235</v>
      </c>
      <c r="D982" s="1770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69" t="s">
        <v>236</v>
      </c>
      <c r="D983" s="1770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3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69" t="s">
        <v>237</v>
      </c>
      <c r="D984" s="1770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69" t="s">
        <v>1663</v>
      </c>
      <c r="D991" s="1770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69" t="s">
        <v>1660</v>
      </c>
      <c r="D995" s="1770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69" t="s">
        <v>1661</v>
      </c>
      <c r="D996" s="1770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59" t="s">
        <v>247</v>
      </c>
      <c r="D997" s="1760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69" t="s">
        <v>273</v>
      </c>
      <c r="D998" s="1770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73" t="s">
        <v>248</v>
      </c>
      <c r="D1001" s="1774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73" t="s">
        <v>249</v>
      </c>
      <c r="D1002" s="1774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73" t="s">
        <v>625</v>
      </c>
      <c r="D1010" s="1774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73" t="s">
        <v>685</v>
      </c>
      <c r="D1013" s="1774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69" t="s">
        <v>686</v>
      </c>
      <c r="D1014" s="1770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75" t="s">
        <v>915</v>
      </c>
      <c r="D1019" s="1776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3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3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3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71" t="s">
        <v>694</v>
      </c>
      <c r="D1023" s="1772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71" t="s">
        <v>694</v>
      </c>
      <c r="D1024" s="1772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134498</v>
      </c>
      <c r="K1028" s="398">
        <f t="shared" si="241"/>
        <v>0</v>
      </c>
      <c r="L1028" s="395">
        <f t="shared" si="241"/>
        <v>134498</v>
      </c>
      <c r="M1028" s="12">
        <f t="shared" si="238"/>
        <v>1</v>
      </c>
      <c r="N1028" s="73" t="str">
        <f>LEFT(C910,1)</f>
        <v>5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2066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2067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2072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45">
        <f>$B$7</f>
        <v>0</v>
      </c>
      <c r="J14" s="1746"/>
      <c r="K14" s="174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7">
        <f>$B$9</f>
        <v>0</v>
      </c>
      <c r="J16" s="1748"/>
      <c r="K16" s="174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0">
        <f>$B$12</f>
        <v>0</v>
      </c>
      <c r="J19" s="1751"/>
      <c r="K19" s="1752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3" t="s">
        <v>2049</v>
      </c>
      <c r="M23" s="1754"/>
      <c r="N23" s="1754"/>
      <c r="O23" s="1755"/>
      <c r="P23" s="1756" t="s">
        <v>2050</v>
      </c>
      <c r="Q23" s="1757"/>
      <c r="R23" s="1757"/>
      <c r="S23" s="175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1" t="s">
        <v>744</v>
      </c>
      <c r="K30" s="176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3" t="s">
        <v>747</v>
      </c>
      <c r="K33" s="176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5" t="s">
        <v>194</v>
      </c>
      <c r="K39" s="176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7" t="s">
        <v>199</v>
      </c>
      <c r="K47" s="176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3" t="s">
        <v>200</v>
      </c>
      <c r="K48" s="176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9" t="s">
        <v>272</v>
      </c>
      <c r="K66" s="177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9" t="s">
        <v>722</v>
      </c>
      <c r="K70" s="177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9" t="s">
        <v>219</v>
      </c>
      <c r="K76" s="177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9" t="s">
        <v>221</v>
      </c>
      <c r="K79" s="177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9" t="s">
        <v>222</v>
      </c>
      <c r="K80" s="176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9" t="s">
        <v>223</v>
      </c>
      <c r="K81" s="176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9" t="s">
        <v>1662</v>
      </c>
      <c r="K82" s="176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9" t="s">
        <v>224</v>
      </c>
      <c r="K83" s="177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9" t="s">
        <v>234</v>
      </c>
      <c r="K98" s="177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9" t="s">
        <v>235</v>
      </c>
      <c r="K99" s="177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9" t="s">
        <v>236</v>
      </c>
      <c r="K100" s="177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9" t="s">
        <v>237</v>
      </c>
      <c r="K101" s="177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9" t="s">
        <v>1663</v>
      </c>
      <c r="K108" s="177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9" t="s">
        <v>1660</v>
      </c>
      <c r="K112" s="177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9" t="s">
        <v>1661</v>
      </c>
      <c r="K113" s="177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9" t="s">
        <v>247</v>
      </c>
      <c r="K114" s="176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9" t="s">
        <v>273</v>
      </c>
      <c r="K115" s="177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3" t="s">
        <v>248</v>
      </c>
      <c r="K118" s="177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3" t="s">
        <v>249</v>
      </c>
      <c r="K119" s="177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3" t="s">
        <v>625</v>
      </c>
      <c r="K127" s="177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3" t="s">
        <v>685</v>
      </c>
      <c r="K130" s="177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9" t="s">
        <v>686</v>
      </c>
      <c r="K131" s="177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5" t="s">
        <v>915</v>
      </c>
      <c r="K136" s="177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1" t="s">
        <v>694</v>
      </c>
      <c r="K140" s="177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1" t="s">
        <v>694</v>
      </c>
      <c r="K141" s="177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2019-03-07T13:36:23Z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